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godaa\Google Drive\0273SMVE SMSM vertinimas\Darbinis\Tarpines ataskaitos\III tarpine\Siuntimui 0922\Išsiųsta\"/>
    </mc:Choice>
  </mc:AlternateContent>
  <xr:revisionPtr revIDLastSave="0" documentId="13_ncr:1_{8432D2C3-900A-4008-A2A9-8DB418DF1EFB}" xr6:coauthVersionLast="47" xr6:coauthVersionMax="47" xr10:uidLastSave="{00000000-0000-0000-0000-000000000000}"/>
  <bookViews>
    <workbookView xWindow="-120" yWindow="-120" windowWidth="29040" windowHeight="15840" firstSheet="2" activeTab="7" xr2:uid="{00000000-000D-0000-FFFF-FFFF00000000}"/>
  </bookViews>
  <sheets>
    <sheet name="Bendros prielaidos ir santr." sheetId="2" r:id="rId1"/>
    <sheet name="Taikomieji MTEP" sheetId="1" r:id="rId2"/>
    <sheet name="Mokslo tarptautiškumas" sheetId="4" r:id="rId3"/>
    <sheet name="Žinių perdavimas ir komercinim." sheetId="5" r:id="rId4"/>
    <sheet name="Tyrėjo karjera" sheetId="6" r:id="rId5"/>
    <sheet name="Europos debesis" sheetId="7" r:id="rId6"/>
    <sheet name="MTEP verslumas" sheetId="8" r:id="rId7"/>
    <sheet name="Pagalba švietimo spec." sheetId="9" r:id="rId8"/>
    <sheet name="Tyrimai švietimui" sheetId="10" r:id="rId9"/>
    <sheet name="Ankstinimas" sheetId="11" r:id="rId10"/>
    <sheet name="Švietimo įtrauktis" sheetId="17" r:id="rId11"/>
    <sheet name="Ikimokyklinis ir VDM" sheetId="21" r:id="rId12"/>
    <sheet name="Paskatos mokytis" sheetId="18" r:id="rId13"/>
    <sheet name="Švietimo inovacijos" sheetId="20" r:id="rId14"/>
    <sheet name="Dalyvavimo MVG plėtra" sheetId="19" r:id="rId15"/>
    <sheet name="Suaugusiųjų įtrauktis" sheetId="22" r:id="rId16"/>
    <sheet name="Infrastruktura ir susisiek" sheetId="12" r:id="rId17"/>
    <sheet name="Priemones ir iranga" sheetId="13" r:id="rId18"/>
    <sheet name="Svietimo pagalba" sheetId="14" r:id="rId19"/>
    <sheet name="Profesiniu infra" sheetId="15" r:id="rId20"/>
    <sheet name="PRC infra" sheetId="16"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0" i="5" l="1"/>
  <c r="Q30" i="5" s="1"/>
  <c r="R30" i="5" s="1"/>
  <c r="S30" i="5" s="1"/>
  <c r="T30" i="5" s="1"/>
  <c r="U30" i="5" s="1"/>
  <c r="V30" i="5" s="1"/>
  <c r="W30" i="5" s="1"/>
  <c r="X30" i="5" s="1"/>
  <c r="Y30" i="5" s="1"/>
  <c r="Z30" i="5" s="1"/>
  <c r="AA30" i="5" s="1"/>
  <c r="AB30" i="5" s="1"/>
  <c r="AC30" i="5" s="1"/>
  <c r="AD30" i="5" s="1"/>
  <c r="AE30" i="5" s="1"/>
  <c r="AF30" i="5" s="1"/>
  <c r="AG30" i="5" s="1"/>
  <c r="AH30" i="5" s="1"/>
  <c r="AI30" i="5" s="1"/>
  <c r="G6" i="8"/>
  <c r="H6" i="8"/>
  <c r="I6" i="8"/>
  <c r="J6" i="8"/>
  <c r="K6" i="8"/>
  <c r="L6" i="8"/>
  <c r="M6" i="8"/>
  <c r="N6" i="8"/>
  <c r="O6" i="8"/>
  <c r="P6" i="8"/>
  <c r="Q6" i="8"/>
  <c r="R6" i="8"/>
  <c r="S6" i="8"/>
  <c r="T6" i="8"/>
  <c r="U6" i="8"/>
  <c r="V6" i="8"/>
  <c r="W6" i="8"/>
  <c r="X6" i="8"/>
  <c r="Y6" i="8"/>
  <c r="Z6" i="8"/>
  <c r="AA6" i="8"/>
  <c r="AB6" i="8"/>
  <c r="AC6" i="8"/>
  <c r="AD6" i="8"/>
  <c r="AE6" i="8"/>
  <c r="AF6" i="8"/>
  <c r="AG6" i="8"/>
  <c r="AH6" i="8"/>
  <c r="AI6" i="8"/>
  <c r="F6" i="8"/>
  <c r="G24" i="8"/>
  <c r="H24" i="8"/>
  <c r="I24" i="8"/>
  <c r="J24" i="8"/>
  <c r="K24" i="8"/>
  <c r="L24" i="8"/>
  <c r="F24" i="8"/>
  <c r="D23" i="8"/>
  <c r="D24" i="8"/>
  <c r="P17" i="8"/>
  <c r="Q17" i="8" s="1"/>
  <c r="R17" i="8" s="1"/>
  <c r="S17" i="8" s="1"/>
  <c r="T17" i="8" s="1"/>
  <c r="U17" i="8" s="1"/>
  <c r="V17" i="8" s="1"/>
  <c r="W17" i="8" s="1"/>
  <c r="X17" i="8" s="1"/>
  <c r="Y17" i="8" s="1"/>
  <c r="Z17" i="8" s="1"/>
  <c r="AA17" i="8" s="1"/>
  <c r="AB17" i="8" s="1"/>
  <c r="AC17" i="8" s="1"/>
  <c r="AD17" i="8" s="1"/>
  <c r="AE17" i="8" s="1"/>
  <c r="AF17" i="8" s="1"/>
  <c r="AG17" i="8" s="1"/>
  <c r="AH17" i="8" s="1"/>
  <c r="AI17" i="8" s="1"/>
  <c r="G22" i="8"/>
  <c r="H22" i="8"/>
  <c r="I22" i="8"/>
  <c r="J22" i="8"/>
  <c r="K22" i="8"/>
  <c r="L22" i="8"/>
  <c r="F22" i="8"/>
  <c r="D22" i="8" s="1"/>
  <c r="F28" i="1"/>
  <c r="G28" i="1"/>
  <c r="H28" i="1"/>
  <c r="I28" i="1"/>
  <c r="J28" i="1"/>
  <c r="K28" i="1"/>
  <c r="L28" i="1"/>
  <c r="M28" i="1" s="1"/>
  <c r="N28" i="1" s="1"/>
  <c r="O28" i="1" s="1"/>
  <c r="F29" i="6"/>
  <c r="G29" i="6"/>
  <c r="H29" i="6" s="1"/>
  <c r="I29" i="6" s="1"/>
  <c r="J29" i="6" s="1"/>
  <c r="K29" i="6" s="1"/>
  <c r="L29" i="6" s="1"/>
  <c r="P29" i="6"/>
  <c r="Q29" i="6"/>
  <c r="R29" i="6"/>
  <c r="S29" i="6"/>
  <c r="T29" i="6"/>
  <c r="U29" i="6"/>
  <c r="V29" i="6" s="1"/>
  <c r="W29" i="6" s="1"/>
  <c r="X29" i="6" s="1"/>
  <c r="Y29" i="6" s="1"/>
  <c r="Z29" i="6" s="1"/>
  <c r="AA29" i="6" s="1"/>
  <c r="AB29" i="6" s="1"/>
  <c r="AC29" i="6" s="1"/>
  <c r="AD29" i="6" s="1"/>
  <c r="AE29" i="6" s="1"/>
  <c r="AF29" i="6" s="1"/>
  <c r="AG29" i="6" s="1"/>
  <c r="AH29" i="6" s="1"/>
  <c r="AI29" i="6" s="1"/>
  <c r="D6" i="18"/>
  <c r="D11" i="4"/>
  <c r="F5" i="4"/>
  <c r="G5" i="4"/>
  <c r="H5" i="4"/>
  <c r="I5" i="4"/>
  <c r="J5" i="4"/>
  <c r="K5" i="4"/>
  <c r="L5" i="4"/>
  <c r="E5" i="4"/>
  <c r="D5" i="4" s="1"/>
  <c r="D10" i="16"/>
  <c r="D9" i="16"/>
  <c r="D10" i="15"/>
  <c r="D11" i="15"/>
  <c r="D12" i="13"/>
  <c r="D11" i="13"/>
  <c r="D11" i="12"/>
  <c r="D9" i="12"/>
  <c r="D10" i="12"/>
  <c r="D12" i="22"/>
  <c r="D11" i="22"/>
  <c r="D5" i="22"/>
  <c r="F5" i="22"/>
  <c r="G5" i="22"/>
  <c r="H5" i="22"/>
  <c r="I5" i="22"/>
  <c r="J5" i="22"/>
  <c r="K5" i="22"/>
  <c r="L5" i="22"/>
  <c r="E5" i="22"/>
  <c r="D9" i="19" l="1"/>
  <c r="D8" i="19"/>
  <c r="D10" i="20"/>
  <c r="D9" i="20"/>
  <c r="D11" i="18"/>
  <c r="D10" i="18"/>
  <c r="F7" i="21"/>
  <c r="AD7" i="21"/>
  <c r="AC7" i="21"/>
  <c r="AB7" i="21"/>
  <c r="AA7" i="21"/>
  <c r="Z7" i="21"/>
  <c r="Y7" i="21"/>
  <c r="X7" i="21"/>
  <c r="W7" i="21"/>
  <c r="V7" i="21"/>
  <c r="U7" i="21"/>
  <c r="T7" i="21"/>
  <c r="S7" i="21"/>
  <c r="R7" i="21"/>
  <c r="Q7" i="21"/>
  <c r="P7" i="21"/>
  <c r="O7" i="21"/>
  <c r="N7" i="21"/>
  <c r="M7" i="21"/>
  <c r="L7" i="21"/>
  <c r="K7" i="21"/>
  <c r="J7" i="21"/>
  <c r="I7" i="21"/>
  <c r="H7" i="21"/>
  <c r="G7" i="21"/>
  <c r="D11" i="21"/>
  <c r="D10" i="17"/>
  <c r="D8" i="17"/>
  <c r="D11" i="11"/>
  <c r="D10" i="11"/>
  <c r="D10" i="10"/>
  <c r="D8" i="10"/>
  <c r="D12" i="9"/>
  <c r="D11" i="7"/>
  <c r="AA26" i="6"/>
  <c r="AB26" i="6"/>
  <c r="AC26" i="6"/>
  <c r="AD26" i="6"/>
  <c r="AE26" i="6"/>
  <c r="AF26" i="6"/>
  <c r="AG26" i="6"/>
  <c r="AH26" i="6"/>
  <c r="AI26" i="6"/>
  <c r="AA24" i="6"/>
  <c r="AB24" i="6"/>
  <c r="AC24" i="6"/>
  <c r="AD24" i="6"/>
  <c r="AE24" i="6"/>
  <c r="AF24" i="6"/>
  <c r="AG24" i="6"/>
  <c r="AH24" i="6"/>
  <c r="AI24" i="6"/>
  <c r="L19" i="5"/>
  <c r="M20" i="5"/>
  <c r="N20" i="5" s="1"/>
  <c r="H18" i="1"/>
  <c r="I18" i="1"/>
  <c r="J18" i="1"/>
  <c r="K18" i="1"/>
  <c r="L18" i="1"/>
  <c r="G18" i="1"/>
  <c r="H17" i="4"/>
  <c r="I17" i="4"/>
  <c r="J17" i="4"/>
  <c r="K17" i="4"/>
  <c r="L17" i="4"/>
  <c r="M17" i="4" s="1"/>
  <c r="M18" i="4" s="1"/>
  <c r="G17" i="4"/>
  <c r="M18" i="5"/>
  <c r="M19" i="5" s="1"/>
  <c r="M26" i="5"/>
  <c r="V29" i="5"/>
  <c r="W29" i="5"/>
  <c r="X29" i="5"/>
  <c r="Y29" i="5"/>
  <c r="Z29" i="5"/>
  <c r="AA29" i="5"/>
  <c r="AB29" i="5"/>
  <c r="AC29" i="5"/>
  <c r="AD29" i="5"/>
  <c r="AE29" i="5"/>
  <c r="AF29" i="5"/>
  <c r="AG29" i="5"/>
  <c r="AH29" i="5"/>
  <c r="AI29" i="5"/>
  <c r="V25" i="5"/>
  <c r="W25" i="5"/>
  <c r="X25" i="5"/>
  <c r="Y25" i="5"/>
  <c r="Z25" i="5"/>
  <c r="AA25" i="5"/>
  <c r="AB25" i="5"/>
  <c r="AC25" i="5"/>
  <c r="AD25" i="5"/>
  <c r="AE25" i="5"/>
  <c r="AF25" i="5"/>
  <c r="AG25" i="5"/>
  <c r="AH25" i="5"/>
  <c r="AI25" i="5"/>
  <c r="AI31" i="5"/>
  <c r="M20" i="4"/>
  <c r="N20" i="4"/>
  <c r="Q20" i="4"/>
  <c r="R20" i="4"/>
  <c r="S20" i="4"/>
  <c r="X20" i="4"/>
  <c r="Y20" i="4"/>
  <c r="Z20" i="4"/>
  <c r="AC20" i="4"/>
  <c r="AD20" i="4"/>
  <c r="AE20" i="4"/>
  <c r="O20" i="4"/>
  <c r="P20" i="4"/>
  <c r="T20" i="4"/>
  <c r="U20" i="4"/>
  <c r="V20" i="4"/>
  <c r="W20" i="4"/>
  <c r="AA20" i="4"/>
  <c r="AB20" i="4"/>
  <c r="AF20" i="4"/>
  <c r="AG20" i="4"/>
  <c r="AH20" i="4"/>
  <c r="AI20" i="4"/>
  <c r="AC24" i="4"/>
  <c r="AD24" i="4"/>
  <c r="M25" i="4"/>
  <c r="M24" i="4" s="1"/>
  <c r="N25" i="4"/>
  <c r="N24" i="4" s="1"/>
  <c r="O25" i="4"/>
  <c r="O24" i="4" s="1"/>
  <c r="P25" i="4"/>
  <c r="P24" i="4" s="1"/>
  <c r="Q25" i="4"/>
  <c r="Q24" i="4" s="1"/>
  <c r="R25" i="4"/>
  <c r="R24" i="4" s="1"/>
  <c r="S25" i="4"/>
  <c r="S24" i="4" s="1"/>
  <c r="T25" i="4"/>
  <c r="T24" i="4" s="1"/>
  <c r="U25" i="4"/>
  <c r="U24" i="4" s="1"/>
  <c r="V25" i="4"/>
  <c r="V24" i="4" s="1"/>
  <c r="W25" i="4"/>
  <c r="W24" i="4" s="1"/>
  <c r="X25" i="4"/>
  <c r="X24" i="4" s="1"/>
  <c r="Y25" i="4"/>
  <c r="Y24" i="4" s="1"/>
  <c r="Z25" i="4"/>
  <c r="Z24" i="4" s="1"/>
  <c r="AA25" i="4"/>
  <c r="AA24" i="4" s="1"/>
  <c r="AB25" i="4"/>
  <c r="AB24" i="4" s="1"/>
  <c r="AC25" i="4"/>
  <c r="AD25" i="4"/>
  <c r="AE25" i="4"/>
  <c r="AE24" i="4" s="1"/>
  <c r="AF25" i="4"/>
  <c r="AF24" i="4" s="1"/>
  <c r="AG25" i="4"/>
  <c r="AG24" i="4" s="1"/>
  <c r="AH25" i="4"/>
  <c r="AH24" i="4" s="1"/>
  <c r="AI25" i="4"/>
  <c r="AI24" i="4" s="1"/>
  <c r="D5" i="1"/>
  <c r="F5" i="1"/>
  <c r="G5" i="1"/>
  <c r="H5" i="1"/>
  <c r="I5" i="1"/>
  <c r="J5" i="1"/>
  <c r="E5" i="1"/>
  <c r="E7" i="1"/>
  <c r="R30" i="1"/>
  <c r="S30" i="1" s="1"/>
  <c r="T30" i="1" s="1"/>
  <c r="U30" i="1" s="1"/>
  <c r="V30" i="1" s="1"/>
  <c r="M21" i="1"/>
  <c r="N21" i="1"/>
  <c r="O21" i="1"/>
  <c r="P21" i="1"/>
  <c r="Q21" i="1"/>
  <c r="R21" i="1"/>
  <c r="S21" i="1"/>
  <c r="T21" i="1"/>
  <c r="U21" i="1"/>
  <c r="V21" i="1"/>
  <c r="W21" i="1"/>
  <c r="X21" i="1"/>
  <c r="Y21" i="1"/>
  <c r="Z21" i="1"/>
  <c r="AA21" i="1"/>
  <c r="AB21" i="1"/>
  <c r="AC21" i="1"/>
  <c r="AD21" i="1"/>
  <c r="AE21" i="1"/>
  <c r="AF21" i="1"/>
  <c r="AG21" i="1"/>
  <c r="AH21" i="1"/>
  <c r="AI21" i="1"/>
  <c r="G45" i="1"/>
  <c r="H45" i="1"/>
  <c r="I45" i="1"/>
  <c r="J45" i="1"/>
  <c r="K45" i="1"/>
  <c r="L45" i="1"/>
  <c r="M45" i="1"/>
  <c r="M32" i="1" s="1"/>
  <c r="N45" i="1"/>
  <c r="N32" i="1" s="1"/>
  <c r="O45" i="1"/>
  <c r="O32" i="1" s="1"/>
  <c r="P45" i="1"/>
  <c r="P32" i="1" s="1"/>
  <c r="Q45" i="1"/>
  <c r="Q32" i="1" s="1"/>
  <c r="R45" i="1"/>
  <c r="R32" i="1" s="1"/>
  <c r="S45" i="1"/>
  <c r="S32" i="1" s="1"/>
  <c r="T45" i="1"/>
  <c r="T32" i="1" s="1"/>
  <c r="U45" i="1"/>
  <c r="U32" i="1" s="1"/>
  <c r="V45" i="1"/>
  <c r="V32" i="1" s="1"/>
  <c r="W45" i="1"/>
  <c r="W32" i="1" s="1"/>
  <c r="X45" i="1"/>
  <c r="X32" i="1" s="1"/>
  <c r="Y45" i="1"/>
  <c r="Y32" i="1" s="1"/>
  <c r="Z45" i="1"/>
  <c r="Z32" i="1" s="1"/>
  <c r="AA45" i="1"/>
  <c r="AA32" i="1" s="1"/>
  <c r="AB45" i="1"/>
  <c r="AB32" i="1" s="1"/>
  <c r="AC45" i="1"/>
  <c r="AC32" i="1" s="1"/>
  <c r="AD45" i="1"/>
  <c r="AD32" i="1" s="1"/>
  <c r="AE45" i="1"/>
  <c r="AE32" i="1" s="1"/>
  <c r="AF45" i="1"/>
  <c r="AF32" i="1" s="1"/>
  <c r="AG45" i="1"/>
  <c r="AG32" i="1" s="1"/>
  <c r="AH45" i="1"/>
  <c r="AH32" i="1" s="1"/>
  <c r="AI45" i="1"/>
  <c r="AI32" i="1" s="1"/>
  <c r="F39" i="1"/>
  <c r="G39" i="1"/>
  <c r="H39" i="1"/>
  <c r="I39" i="1"/>
  <c r="J39" i="1"/>
  <c r="K39" i="1"/>
  <c r="L39" i="1"/>
  <c r="M39" i="1"/>
  <c r="N39" i="1"/>
  <c r="O39" i="1"/>
  <c r="P39" i="1"/>
  <c r="Q39" i="1"/>
  <c r="R39" i="1"/>
  <c r="S39" i="1"/>
  <c r="T39" i="1"/>
  <c r="U39" i="1"/>
  <c r="V39" i="1"/>
  <c r="V27" i="1" s="1"/>
  <c r="W39" i="1"/>
  <c r="W27" i="1" s="1"/>
  <c r="X39" i="1"/>
  <c r="X27" i="1" s="1"/>
  <c r="Y39" i="1"/>
  <c r="Z39" i="1"/>
  <c r="Z27" i="1" s="1"/>
  <c r="AA39" i="1"/>
  <c r="AA27" i="1" s="1"/>
  <c r="AB39" i="1"/>
  <c r="AB27" i="1" s="1"/>
  <c r="AC39" i="1"/>
  <c r="AC27" i="1" s="1"/>
  <c r="AD39" i="1"/>
  <c r="AE39" i="1"/>
  <c r="AE27" i="1" s="1"/>
  <c r="AF39" i="1"/>
  <c r="AF27" i="1" s="1"/>
  <c r="AG39" i="1"/>
  <c r="AG27" i="1" s="1"/>
  <c r="AH39" i="1"/>
  <c r="AH27" i="1" s="1"/>
  <c r="AI39" i="1"/>
  <c r="AI27" i="1" s="1"/>
  <c r="Y27" i="1"/>
  <c r="V29" i="1"/>
  <c r="X29" i="1"/>
  <c r="Z29" i="1"/>
  <c r="AA29" i="1"/>
  <c r="AC29" i="1"/>
  <c r="AE29" i="1"/>
  <c r="AH29" i="1"/>
  <c r="W29" i="1"/>
  <c r="Y29" i="1"/>
  <c r="AB29" i="1"/>
  <c r="AD29" i="1"/>
  <c r="AF29" i="1"/>
  <c r="AG29" i="1"/>
  <c r="AI29" i="1"/>
  <c r="AD27" i="1"/>
  <c r="G21" i="5"/>
  <c r="H21" i="5"/>
  <c r="I21" i="5"/>
  <c r="J21" i="5"/>
  <c r="K21" i="5"/>
  <c r="L21" i="5"/>
  <c r="F21" i="5"/>
  <c r="G19" i="5"/>
  <c r="H19" i="5"/>
  <c r="I19" i="5"/>
  <c r="J19" i="5"/>
  <c r="K19" i="5"/>
  <c r="F19" i="5"/>
  <c r="F19" i="8"/>
  <c r="G19" i="8" s="1"/>
  <c r="H19" i="8" s="1"/>
  <c r="I19" i="8" s="1"/>
  <c r="J19" i="8" s="1"/>
  <c r="K19" i="8" s="1"/>
  <c r="L19" i="8" s="1"/>
  <c r="M19" i="8" s="1"/>
  <c r="N19" i="8" s="1"/>
  <c r="O19" i="8" s="1"/>
  <c r="P19" i="8" s="1"/>
  <c r="Q19" i="8" s="1"/>
  <c r="R19" i="8" s="1"/>
  <c r="S19" i="8" s="1"/>
  <c r="T19" i="8" s="1"/>
  <c r="U19" i="8" s="1"/>
  <c r="V19" i="8" s="1"/>
  <c r="D9" i="14"/>
  <c r="G6" i="14"/>
  <c r="H6" i="14"/>
  <c r="I6" i="14"/>
  <c r="J6" i="14"/>
  <c r="K6" i="14"/>
  <c r="L6" i="14"/>
  <c r="F6" i="14"/>
  <c r="F9" i="14"/>
  <c r="G9"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E9" i="14"/>
  <c r="D13" i="14"/>
  <c r="G5" i="14"/>
  <c r="H5" i="14"/>
  <c r="I5" i="14"/>
  <c r="J5" i="14"/>
  <c r="K5" i="14"/>
  <c r="L5" i="14"/>
  <c r="G8"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E8" i="14"/>
  <c r="F8" i="14"/>
  <c r="F5" i="14"/>
  <c r="D6" i="14"/>
  <c r="D5" i="14"/>
  <c r="D14" i="21"/>
  <c r="W19" i="8" l="1"/>
  <c r="V20" i="8"/>
  <c r="V18" i="8"/>
  <c r="AA30" i="6"/>
  <c r="O20" i="5"/>
  <c r="N21" i="5"/>
  <c r="Y31" i="5"/>
  <c r="W31" i="5"/>
  <c r="AH31" i="5"/>
  <c r="V31" i="5"/>
  <c r="AG31" i="5"/>
  <c r="AF31" i="5"/>
  <c r="AE31" i="5"/>
  <c r="AD31" i="5"/>
  <c r="AC31" i="5"/>
  <c r="X31" i="5"/>
  <c r="AB31" i="5"/>
  <c r="N26" i="5"/>
  <c r="O26" i="5" s="1"/>
  <c r="P26" i="5" s="1"/>
  <c r="Q26" i="5" s="1"/>
  <c r="R26" i="5" s="1"/>
  <c r="S26" i="5" s="1"/>
  <c r="T26" i="5" s="1"/>
  <c r="U26" i="5" s="1"/>
  <c r="V26" i="5" s="1"/>
  <c r="W26" i="5" s="1"/>
  <c r="AA31" i="5"/>
  <c r="M21" i="5"/>
  <c r="Z31" i="5"/>
  <c r="N18" i="5"/>
  <c r="N17" i="4"/>
  <c r="W30" i="1"/>
  <c r="V31" i="1"/>
  <c r="V25" i="1" s="1"/>
  <c r="D14" i="14"/>
  <c r="E19" i="13"/>
  <c r="F19" i="13"/>
  <c r="G19" i="13"/>
  <c r="H19" i="13"/>
  <c r="M19" i="13"/>
  <c r="N19" i="13"/>
  <c r="O19" i="13"/>
  <c r="P19" i="13"/>
  <c r="Q19" i="13"/>
  <c r="R19" i="13"/>
  <c r="S19" i="13"/>
  <c r="T19" i="13"/>
  <c r="U19" i="13"/>
  <c r="D14" i="13"/>
  <c r="K16" i="15"/>
  <c r="K14" i="15" s="1"/>
  <c r="K5" i="15" s="1"/>
  <c r="K6" i="15" s="1"/>
  <c r="F18" i="15"/>
  <c r="F16" i="15" s="1"/>
  <c r="F14" i="15" s="1"/>
  <c r="F5" i="15" s="1"/>
  <c r="F6" i="15" s="1"/>
  <c r="G18" i="15"/>
  <c r="H18" i="15"/>
  <c r="H16" i="15" s="1"/>
  <c r="H14" i="15" s="1"/>
  <c r="H5" i="15" s="1"/>
  <c r="H6" i="15" s="1"/>
  <c r="I18" i="15"/>
  <c r="I16" i="15" s="1"/>
  <c r="I14" i="15" s="1"/>
  <c r="I5" i="15" s="1"/>
  <c r="I6" i="15" s="1"/>
  <c r="J18" i="15"/>
  <c r="J16" i="15" s="1"/>
  <c r="J14" i="15" s="1"/>
  <c r="J5" i="15" s="1"/>
  <c r="J6" i="15" s="1"/>
  <c r="K18" i="15"/>
  <c r="L18" i="15"/>
  <c r="L16" i="15" s="1"/>
  <c r="L14" i="15" s="1"/>
  <c r="L5" i="15" s="1"/>
  <c r="L6" i="15" s="1"/>
  <c r="M18" i="15"/>
  <c r="M16" i="15" s="1"/>
  <c r="M14" i="15" s="1"/>
  <c r="M5" i="15" s="1"/>
  <c r="M6" i="15" s="1"/>
  <c r="N18" i="15"/>
  <c r="N16" i="15" s="1"/>
  <c r="N14" i="15" s="1"/>
  <c r="N5" i="15" s="1"/>
  <c r="N6" i="15" s="1"/>
  <c r="O18" i="15"/>
  <c r="O16" i="15" s="1"/>
  <c r="O14" i="15" s="1"/>
  <c r="O5" i="15" s="1"/>
  <c r="O6" i="15" s="1"/>
  <c r="P18" i="15"/>
  <c r="P16" i="15" s="1"/>
  <c r="P14" i="15" s="1"/>
  <c r="P5" i="15" s="1"/>
  <c r="P6" i="15" s="1"/>
  <c r="Q18" i="15"/>
  <c r="Q16" i="15" s="1"/>
  <c r="Q14" i="15" s="1"/>
  <c r="Q5" i="15" s="1"/>
  <c r="Q6" i="15" s="1"/>
  <c r="R18" i="15"/>
  <c r="R16" i="15" s="1"/>
  <c r="R14" i="15" s="1"/>
  <c r="R5" i="15" s="1"/>
  <c r="R6" i="15" s="1"/>
  <c r="S18" i="15"/>
  <c r="S16" i="15" s="1"/>
  <c r="S14" i="15" s="1"/>
  <c r="S5" i="15" s="1"/>
  <c r="S6" i="15" s="1"/>
  <c r="T18" i="15"/>
  <c r="T16" i="15" s="1"/>
  <c r="T14" i="15" s="1"/>
  <c r="T5" i="15" s="1"/>
  <c r="T6" i="15" s="1"/>
  <c r="U18" i="15"/>
  <c r="U16" i="15" s="1"/>
  <c r="U14" i="15" s="1"/>
  <c r="U5" i="15" s="1"/>
  <c r="U6" i="15" s="1"/>
  <c r="E18" i="15"/>
  <c r="E16" i="15" s="1"/>
  <c r="E14" i="15" s="1"/>
  <c r="E5" i="15" s="1"/>
  <c r="E6" i="15" s="1"/>
  <c r="D13" i="15"/>
  <c r="D16" i="14"/>
  <c r="E19" i="14"/>
  <c r="E17" i="14" s="1"/>
  <c r="E7" i="14" s="1"/>
  <c r="F22" i="14"/>
  <c r="F19" i="14" s="1"/>
  <c r="F17" i="14" s="1"/>
  <c r="F7" i="14" s="1"/>
  <c r="G22" i="14"/>
  <c r="G19" i="14" s="1"/>
  <c r="G17" i="14" s="1"/>
  <c r="G7" i="14" s="1"/>
  <c r="H22" i="14"/>
  <c r="H19" i="14" s="1"/>
  <c r="H17" i="14" s="1"/>
  <c r="H7" i="14" s="1"/>
  <c r="I22" i="14"/>
  <c r="I19" i="14" s="1"/>
  <c r="I17" i="14" s="1"/>
  <c r="I7" i="14" s="1"/>
  <c r="J22" i="14"/>
  <c r="J19" i="14" s="1"/>
  <c r="J17" i="14" s="1"/>
  <c r="J7" i="14" s="1"/>
  <c r="K22" i="14"/>
  <c r="K19" i="14" s="1"/>
  <c r="K17" i="14" s="1"/>
  <c r="K7" i="14" s="1"/>
  <c r="L22" i="14"/>
  <c r="L19" i="14" s="1"/>
  <c r="L17" i="14" s="1"/>
  <c r="L7" i="14" s="1"/>
  <c r="M22" i="14"/>
  <c r="M19" i="14" s="1"/>
  <c r="M17" i="14" s="1"/>
  <c r="M7" i="14" s="1"/>
  <c r="N22" i="14"/>
  <c r="N19" i="14" s="1"/>
  <c r="N17" i="14" s="1"/>
  <c r="N7" i="14" s="1"/>
  <c r="O22" i="14"/>
  <c r="O19" i="14" s="1"/>
  <c r="O17" i="14" s="1"/>
  <c r="O7" i="14" s="1"/>
  <c r="P22" i="14"/>
  <c r="P19" i="14" s="1"/>
  <c r="P17" i="14" s="1"/>
  <c r="P7" i="14" s="1"/>
  <c r="E15" i="16"/>
  <c r="E13" i="16" s="1"/>
  <c r="E5" i="16" s="1"/>
  <c r="D12" i="16"/>
  <c r="G25" i="16"/>
  <c r="H25" i="16"/>
  <c r="I25" i="16"/>
  <c r="J25" i="16"/>
  <c r="K25" i="16"/>
  <c r="L25" i="16"/>
  <c r="G26" i="16"/>
  <c r="H26" i="16"/>
  <c r="I26" i="16"/>
  <c r="J26" i="16"/>
  <c r="K26" i="16"/>
  <c r="L26" i="16"/>
  <c r="F26" i="16"/>
  <c r="F25" i="16"/>
  <c r="P17" i="16" s="1"/>
  <c r="P15" i="16" s="1"/>
  <c r="P13" i="16" s="1"/>
  <c r="P5" i="16" s="1"/>
  <c r="G6" i="12"/>
  <c r="E16" i="12"/>
  <c r="E14" i="12" s="1"/>
  <c r="E6" i="12" s="1"/>
  <c r="F16" i="12"/>
  <c r="F14" i="12" s="1"/>
  <c r="F6" i="12" s="1"/>
  <c r="G16" i="12"/>
  <c r="G14" i="12" s="1"/>
  <c r="H16" i="12"/>
  <c r="H14" i="12" s="1"/>
  <c r="H6" i="12" s="1"/>
  <c r="D13" i="12"/>
  <c r="P18" i="20"/>
  <c r="P15" i="20" s="1"/>
  <c r="Q18" i="20"/>
  <c r="R18" i="20"/>
  <c r="R15" i="20" s="1"/>
  <c r="S18" i="20"/>
  <c r="S15" i="20" s="1"/>
  <c r="T18" i="20"/>
  <c r="T15" i="20" s="1"/>
  <c r="U18" i="20"/>
  <c r="V18" i="20"/>
  <c r="V15" i="20" s="1"/>
  <c r="W18" i="20"/>
  <c r="W15" i="20" s="1"/>
  <c r="X18" i="20"/>
  <c r="X15" i="20" s="1"/>
  <c r="Y18" i="20"/>
  <c r="Y15" i="20" s="1"/>
  <c r="Z18" i="20"/>
  <c r="Z15" i="20" s="1"/>
  <c r="AA18" i="20"/>
  <c r="AB18" i="20"/>
  <c r="AC18" i="20"/>
  <c r="AD18" i="20"/>
  <c r="AD15" i="20" s="1"/>
  <c r="O18" i="20"/>
  <c r="I29" i="20"/>
  <c r="J29" i="20"/>
  <c r="K29" i="20"/>
  <c r="L29" i="20"/>
  <c r="Q29" i="20"/>
  <c r="R29" i="20"/>
  <c r="S29" i="20"/>
  <c r="T29" i="20"/>
  <c r="U29" i="20"/>
  <c r="V29" i="20"/>
  <c r="W29" i="20"/>
  <c r="X29" i="20"/>
  <c r="Y29" i="20"/>
  <c r="Z29" i="20"/>
  <c r="AA29" i="20"/>
  <c r="AB29" i="20"/>
  <c r="AC29" i="20"/>
  <c r="AD29" i="20"/>
  <c r="V27" i="20"/>
  <c r="W27" i="20"/>
  <c r="X27" i="20"/>
  <c r="Y27" i="20"/>
  <c r="Z27" i="20"/>
  <c r="AA27" i="20"/>
  <c r="AB27" i="20"/>
  <c r="AC27" i="20"/>
  <c r="AD27" i="20"/>
  <c r="U24" i="20"/>
  <c r="V24" i="20"/>
  <c r="W24" i="20"/>
  <c r="X24" i="20"/>
  <c r="Y24" i="20"/>
  <c r="Z24" i="20"/>
  <c r="AA24" i="20"/>
  <c r="AB24" i="20"/>
  <c r="AC24" i="20"/>
  <c r="AD24" i="20"/>
  <c r="G24" i="20"/>
  <c r="H22" i="20"/>
  <c r="I22" i="20"/>
  <c r="J22" i="20"/>
  <c r="K22" i="20"/>
  <c r="L22" i="20"/>
  <c r="M22" i="20"/>
  <c r="N22" i="20"/>
  <c r="O22" i="20"/>
  <c r="P22" i="20"/>
  <c r="Q22" i="20"/>
  <c r="R22" i="20"/>
  <c r="S22" i="20"/>
  <c r="T22" i="20"/>
  <c r="U22" i="20"/>
  <c r="V22" i="20"/>
  <c r="V20" i="20" s="1"/>
  <c r="W22" i="20"/>
  <c r="X22" i="20"/>
  <c r="X20" i="20" s="1"/>
  <c r="Y22" i="20"/>
  <c r="Z22" i="20"/>
  <c r="AA22" i="20"/>
  <c r="AB22" i="20"/>
  <c r="AB20" i="20" s="1"/>
  <c r="AC22" i="20"/>
  <c r="AD22" i="20"/>
  <c r="G22" i="20"/>
  <c r="E20" i="20"/>
  <c r="F20" i="20"/>
  <c r="F13" i="20" s="1"/>
  <c r="F5" i="20" s="1"/>
  <c r="Y20" i="20"/>
  <c r="Z20" i="20"/>
  <c r="E15" i="20"/>
  <c r="E13" i="20" s="1"/>
  <c r="E5" i="20" s="1"/>
  <c r="F15" i="20"/>
  <c r="G15" i="20"/>
  <c r="H15" i="20"/>
  <c r="I15" i="20"/>
  <c r="J15" i="20"/>
  <c r="K15" i="20"/>
  <c r="L15" i="20"/>
  <c r="M15" i="20"/>
  <c r="N15" i="20"/>
  <c r="Q15" i="20"/>
  <c r="U15" i="20"/>
  <c r="AA15" i="20"/>
  <c r="AB15" i="20"/>
  <c r="AC15" i="20"/>
  <c r="D12" i="20"/>
  <c r="E15" i="19"/>
  <c r="G17" i="19"/>
  <c r="G15" i="19" s="1"/>
  <c r="G13" i="19" s="1"/>
  <c r="G5" i="19" s="1"/>
  <c r="L17" i="19"/>
  <c r="L15" i="19" s="1"/>
  <c r="L13" i="19" s="1"/>
  <c r="L5" i="19" s="1"/>
  <c r="M17" i="19"/>
  <c r="M15" i="19" s="1"/>
  <c r="M13" i="19" s="1"/>
  <c r="M5" i="19" s="1"/>
  <c r="N17" i="19"/>
  <c r="N15" i="19" s="1"/>
  <c r="N13" i="19" s="1"/>
  <c r="N5" i="19" s="1"/>
  <c r="O17" i="19"/>
  <c r="O15" i="19" s="1"/>
  <c r="O13" i="19" s="1"/>
  <c r="O5" i="19" s="1"/>
  <c r="E13" i="19"/>
  <c r="E5" i="19" s="1"/>
  <c r="D12" i="19"/>
  <c r="D14" i="22"/>
  <c r="E17" i="22"/>
  <c r="E15" i="22" s="1"/>
  <c r="E6" i="22" s="1"/>
  <c r="G19" i="22"/>
  <c r="G17" i="22" s="1"/>
  <c r="G15" i="22" s="1"/>
  <c r="G6" i="22" s="1"/>
  <c r="G7" i="22" s="1"/>
  <c r="L19" i="22"/>
  <c r="L17" i="22" s="1"/>
  <c r="L15" i="22" s="1"/>
  <c r="L6" i="22" s="1"/>
  <c r="L7" i="22" s="1"/>
  <c r="M19" i="22"/>
  <c r="M17" i="22" s="1"/>
  <c r="M15" i="22" s="1"/>
  <c r="M6" i="22" s="1"/>
  <c r="M7" i="22" s="1"/>
  <c r="N19" i="22"/>
  <c r="N17" i="22" s="1"/>
  <c r="N15" i="22" s="1"/>
  <c r="N6" i="22" s="1"/>
  <c r="N7" i="22" s="1"/>
  <c r="O19" i="22"/>
  <c r="O17" i="22" s="1"/>
  <c r="O15" i="22" s="1"/>
  <c r="O6" i="22" s="1"/>
  <c r="O7" i="22" s="1"/>
  <c r="G23" i="18"/>
  <c r="L23" i="18"/>
  <c r="M23" i="18"/>
  <c r="N23" i="18"/>
  <c r="O23" i="18"/>
  <c r="G20" i="18"/>
  <c r="L20" i="18"/>
  <c r="M20" i="18"/>
  <c r="N20" i="18"/>
  <c r="O20" i="18"/>
  <c r="D13" i="18"/>
  <c r="G22" i="21"/>
  <c r="L22" i="21"/>
  <c r="M22" i="21"/>
  <c r="N22" i="21"/>
  <c r="O22" i="21"/>
  <c r="V22" i="21"/>
  <c r="W22" i="21"/>
  <c r="X22" i="21"/>
  <c r="Y22" i="21"/>
  <c r="Z22" i="21"/>
  <c r="AA22" i="21"/>
  <c r="AB22" i="21"/>
  <c r="AC22" i="21"/>
  <c r="AD22" i="21"/>
  <c r="E22" i="21"/>
  <c r="F20" i="21"/>
  <c r="G20" i="21"/>
  <c r="H20" i="21"/>
  <c r="I20" i="21"/>
  <c r="J20" i="21"/>
  <c r="K20" i="21"/>
  <c r="L20" i="21"/>
  <c r="M20" i="21"/>
  <c r="N20" i="21"/>
  <c r="E20" i="21"/>
  <c r="E17" i="21" s="1"/>
  <c r="E24" i="21"/>
  <c r="V26" i="21"/>
  <c r="V24" i="21" s="1"/>
  <c r="W26" i="21"/>
  <c r="W24" i="21" s="1"/>
  <c r="X26" i="21"/>
  <c r="X24" i="21" s="1"/>
  <c r="Y26" i="21"/>
  <c r="Y24" i="21" s="1"/>
  <c r="Z26" i="21"/>
  <c r="Z24" i="21" s="1"/>
  <c r="AA26" i="21"/>
  <c r="AA24" i="21" s="1"/>
  <c r="AB26" i="21"/>
  <c r="AB24" i="21" s="1"/>
  <c r="AC26" i="21"/>
  <c r="AC24" i="21" s="1"/>
  <c r="AD26" i="21"/>
  <c r="AD24" i="21" s="1"/>
  <c r="G22" i="17"/>
  <c r="L22" i="17"/>
  <c r="M22" i="17"/>
  <c r="N22" i="17"/>
  <c r="O22" i="17"/>
  <c r="V22" i="17"/>
  <c r="W22" i="17"/>
  <c r="X22" i="17"/>
  <c r="Y22" i="17"/>
  <c r="Z22" i="17"/>
  <c r="AA22" i="17"/>
  <c r="AB22" i="17"/>
  <c r="AC22" i="17"/>
  <c r="AD22" i="17"/>
  <c r="L17" i="17"/>
  <c r="M17" i="17"/>
  <c r="M15" i="17" s="1"/>
  <c r="M13" i="17" s="1"/>
  <c r="M5" i="17" s="1"/>
  <c r="N17" i="17"/>
  <c r="N15" i="17" s="1"/>
  <c r="N13" i="17" s="1"/>
  <c r="N5" i="17" s="1"/>
  <c r="O17" i="17"/>
  <c r="P17" i="17"/>
  <c r="Q17" i="17"/>
  <c r="R17" i="17"/>
  <c r="S17" i="17"/>
  <c r="T17" i="17"/>
  <c r="U17" i="17"/>
  <c r="V17" i="17"/>
  <c r="W17" i="17"/>
  <c r="X17" i="17"/>
  <c r="Y17" i="17"/>
  <c r="Z17" i="17"/>
  <c r="AA17" i="17"/>
  <c r="AB17" i="17"/>
  <c r="AC17" i="17"/>
  <c r="AD17" i="17"/>
  <c r="E17" i="17"/>
  <c r="E15" i="17" s="1"/>
  <c r="E13" i="17" s="1"/>
  <c r="E5" i="17" s="1"/>
  <c r="D12" i="17"/>
  <c r="E17" i="11"/>
  <c r="E15" i="11" s="1"/>
  <c r="E7" i="11" s="1"/>
  <c r="D14" i="11"/>
  <c r="M22" i="10"/>
  <c r="N22" i="10"/>
  <c r="O22" i="10"/>
  <c r="P22" i="10"/>
  <c r="Q22" i="10"/>
  <c r="R22" i="10"/>
  <c r="S22" i="10"/>
  <c r="T22" i="10"/>
  <c r="U22" i="10"/>
  <c r="V22" i="10"/>
  <c r="W22" i="10"/>
  <c r="X22" i="10"/>
  <c r="Y22" i="10"/>
  <c r="Z22" i="10"/>
  <c r="AA22" i="10"/>
  <c r="E22" i="10"/>
  <c r="E17" i="10"/>
  <c r="E20" i="10"/>
  <c r="F20" i="10"/>
  <c r="G20" i="10"/>
  <c r="H20" i="10"/>
  <c r="I20" i="10"/>
  <c r="X20" i="10"/>
  <c r="Y20" i="10"/>
  <c r="Z20" i="10"/>
  <c r="AA20" i="10"/>
  <c r="AA15" i="10"/>
  <c r="K17" i="10"/>
  <c r="M17" i="10"/>
  <c r="N17" i="10"/>
  <c r="O17" i="10"/>
  <c r="P17" i="10"/>
  <c r="Q17" i="10"/>
  <c r="R17" i="10"/>
  <c r="S17" i="10"/>
  <c r="T17" i="10"/>
  <c r="U17" i="10"/>
  <c r="V17" i="10"/>
  <c r="W17" i="10"/>
  <c r="X17" i="10"/>
  <c r="X15" i="10" s="1"/>
  <c r="Y17" i="10"/>
  <c r="Z17" i="10"/>
  <c r="AA17" i="10"/>
  <c r="G16" i="10"/>
  <c r="G17" i="10" s="1"/>
  <c r="H16" i="10"/>
  <c r="H17" i="10" s="1"/>
  <c r="I16" i="10"/>
  <c r="I17" i="10" s="1"/>
  <c r="J16" i="10"/>
  <c r="J17" i="10" s="1"/>
  <c r="K16" i="10"/>
  <c r="L16" i="10"/>
  <c r="L17" i="10" s="1"/>
  <c r="F16" i="10"/>
  <c r="F17" i="10" s="1"/>
  <c r="G21" i="10"/>
  <c r="G22" i="10" s="1"/>
  <c r="H21" i="10"/>
  <c r="H22" i="10" s="1"/>
  <c r="I21" i="10"/>
  <c r="I22" i="10" s="1"/>
  <c r="J21" i="10"/>
  <c r="J22" i="10" s="1"/>
  <c r="K21" i="10"/>
  <c r="K22" i="10" s="1"/>
  <c r="L21" i="10"/>
  <c r="L22" i="10" s="1"/>
  <c r="F21" i="10"/>
  <c r="F22" i="10" s="1"/>
  <c r="V26" i="10"/>
  <c r="W26" i="10"/>
  <c r="X26" i="10"/>
  <c r="Y26" i="10"/>
  <c r="Z26" i="10"/>
  <c r="AA26" i="10"/>
  <c r="E26" i="10"/>
  <c r="F29" i="10"/>
  <c r="G29" i="10"/>
  <c r="H29" i="10"/>
  <c r="E29" i="10"/>
  <c r="D12" i="10"/>
  <c r="E21" i="9"/>
  <c r="E17" i="9"/>
  <c r="D14" i="9"/>
  <c r="E6" i="8"/>
  <c r="E16" i="8"/>
  <c r="E14" i="8" s="1"/>
  <c r="E5" i="8" s="1"/>
  <c r="G20" i="8"/>
  <c r="H20" i="8"/>
  <c r="I20" i="8"/>
  <c r="J20" i="8"/>
  <c r="M20" i="8"/>
  <c r="N20" i="8"/>
  <c r="O20" i="8"/>
  <c r="P20" i="8"/>
  <c r="Q20" i="8"/>
  <c r="R20" i="8"/>
  <c r="S20" i="8"/>
  <c r="T20" i="8"/>
  <c r="U20" i="8"/>
  <c r="F20" i="8"/>
  <c r="G18" i="8"/>
  <c r="H18" i="8"/>
  <c r="I18" i="8"/>
  <c r="J18" i="8"/>
  <c r="K18" i="8"/>
  <c r="L18" i="8"/>
  <c r="L16" i="8" s="1"/>
  <c r="M18" i="8"/>
  <c r="N18" i="8"/>
  <c r="O18" i="8"/>
  <c r="P18" i="8"/>
  <c r="Q18" i="8"/>
  <c r="R18" i="8"/>
  <c r="S18" i="8"/>
  <c r="T18" i="8"/>
  <c r="U18" i="8"/>
  <c r="F18" i="8"/>
  <c r="D13" i="8"/>
  <c r="E6" i="7"/>
  <c r="F6" i="7"/>
  <c r="E16" i="7"/>
  <c r="E14" i="7" s="1"/>
  <c r="E5" i="7" s="1"/>
  <c r="F16" i="7"/>
  <c r="F14" i="7" s="1"/>
  <c r="F5" i="7" s="1"/>
  <c r="D13" i="7"/>
  <c r="E28" i="6"/>
  <c r="G26" i="6"/>
  <c r="L26" i="6"/>
  <c r="M26" i="6"/>
  <c r="N26" i="6"/>
  <c r="O26" i="6"/>
  <c r="V26" i="6"/>
  <c r="W26" i="6"/>
  <c r="X26" i="6"/>
  <c r="Y26" i="6"/>
  <c r="Z26" i="6"/>
  <c r="E26" i="6"/>
  <c r="F24" i="6"/>
  <c r="G24" i="6"/>
  <c r="H24" i="6"/>
  <c r="I24" i="6"/>
  <c r="J24" i="6"/>
  <c r="K24" i="6"/>
  <c r="L24" i="6"/>
  <c r="E24" i="6"/>
  <c r="M30" i="6"/>
  <c r="N30" i="6"/>
  <c r="O30" i="6"/>
  <c r="V30" i="6"/>
  <c r="W30" i="6"/>
  <c r="X30" i="6"/>
  <c r="Y30" i="6"/>
  <c r="Z30" i="6"/>
  <c r="E21" i="6"/>
  <c r="G20" i="6"/>
  <c r="G21" i="6" s="1"/>
  <c r="G19" i="6" s="1"/>
  <c r="H20" i="6"/>
  <c r="H21" i="6" s="1"/>
  <c r="I20" i="6"/>
  <c r="I21" i="6" s="1"/>
  <c r="J20" i="6"/>
  <c r="J21" i="6" s="1"/>
  <c r="K20" i="6"/>
  <c r="K21" i="6" s="1"/>
  <c r="L20" i="6"/>
  <c r="F20" i="6"/>
  <c r="D16" i="6"/>
  <c r="E17" i="5"/>
  <c r="F31" i="5"/>
  <c r="G31" i="5"/>
  <c r="H31" i="5"/>
  <c r="I31" i="5"/>
  <c r="J31" i="5"/>
  <c r="K31" i="5"/>
  <c r="L31" i="5"/>
  <c r="M31" i="5"/>
  <c r="N31" i="5"/>
  <c r="O31" i="5"/>
  <c r="P31" i="5"/>
  <c r="Q31" i="5"/>
  <c r="R31" i="5"/>
  <c r="S31" i="5"/>
  <c r="T31" i="5"/>
  <c r="U31" i="5"/>
  <c r="E31" i="5"/>
  <c r="E29" i="5"/>
  <c r="F25" i="5"/>
  <c r="G25" i="5"/>
  <c r="H25" i="5"/>
  <c r="I25" i="5"/>
  <c r="J25" i="5"/>
  <c r="K25" i="5"/>
  <c r="L25" i="5"/>
  <c r="M25" i="5"/>
  <c r="N25" i="5"/>
  <c r="O25" i="5"/>
  <c r="P25" i="5"/>
  <c r="Q25" i="5"/>
  <c r="R25" i="5"/>
  <c r="S25" i="5"/>
  <c r="T25" i="5"/>
  <c r="U25" i="5"/>
  <c r="E25" i="5"/>
  <c r="D24" i="5"/>
  <c r="F26" i="5"/>
  <c r="G26" i="5" s="1"/>
  <c r="H26" i="5" s="1"/>
  <c r="I26" i="5" s="1"/>
  <c r="J26" i="5" s="1"/>
  <c r="K26" i="5" s="1"/>
  <c r="M17" i="5"/>
  <c r="G17" i="5"/>
  <c r="H17" i="5"/>
  <c r="I17" i="5"/>
  <c r="J17" i="5"/>
  <c r="K17" i="5"/>
  <c r="L17" i="5"/>
  <c r="F17" i="5"/>
  <c r="D14" i="5"/>
  <c r="E24" i="4"/>
  <c r="G25" i="4"/>
  <c r="G24" i="4" s="1"/>
  <c r="H25" i="4"/>
  <c r="H24" i="4" s="1"/>
  <c r="I25" i="4"/>
  <c r="I24" i="4" s="1"/>
  <c r="J25" i="4"/>
  <c r="J24" i="4" s="1"/>
  <c r="K25" i="4"/>
  <c r="K24" i="4" s="1"/>
  <c r="L25" i="4"/>
  <c r="L24" i="4" s="1"/>
  <c r="F25" i="4"/>
  <c r="E22" i="4"/>
  <c r="E20" i="4"/>
  <c r="E18" i="4"/>
  <c r="G21" i="4"/>
  <c r="G22" i="4" s="1"/>
  <c r="H21" i="4"/>
  <c r="H22" i="4" s="1"/>
  <c r="I21" i="4"/>
  <c r="I22" i="4" s="1"/>
  <c r="J21" i="4"/>
  <c r="J22" i="4" s="1"/>
  <c r="K21" i="4"/>
  <c r="K22" i="4" s="1"/>
  <c r="L21" i="4"/>
  <c r="F21" i="4"/>
  <c r="F22" i="4" s="1"/>
  <c r="G19" i="4"/>
  <c r="G20" i="4" s="1"/>
  <c r="H19" i="4"/>
  <c r="H20" i="4" s="1"/>
  <c r="I19" i="4"/>
  <c r="I20" i="4" s="1"/>
  <c r="J19" i="4"/>
  <c r="J20" i="4" s="1"/>
  <c r="K19" i="4"/>
  <c r="K20" i="4" s="1"/>
  <c r="L19" i="4"/>
  <c r="L20" i="4" s="1"/>
  <c r="F19" i="4"/>
  <c r="F20" i="4" s="1"/>
  <c r="D20" i="4" s="1"/>
  <c r="G18" i="4"/>
  <c r="H18" i="4"/>
  <c r="I18" i="4"/>
  <c r="J18" i="4"/>
  <c r="K18" i="4"/>
  <c r="L18" i="4"/>
  <c r="F17" i="4"/>
  <c r="F18" i="4" s="1"/>
  <c r="D13" i="4"/>
  <c r="G20" i="1"/>
  <c r="H20" i="1"/>
  <c r="I20" i="1"/>
  <c r="J20" i="1"/>
  <c r="K20" i="1"/>
  <c r="L20" i="1"/>
  <c r="F20" i="1"/>
  <c r="F18" i="1"/>
  <c r="M18" i="1" s="1"/>
  <c r="F16" i="8" l="1"/>
  <c r="F14" i="8" s="1"/>
  <c r="F5" i="8" s="1"/>
  <c r="Q16" i="8"/>
  <c r="Q14" i="8" s="1"/>
  <c r="Q5" i="8" s="1"/>
  <c r="P16" i="8"/>
  <c r="P14" i="8" s="1"/>
  <c r="P5" i="8" s="1"/>
  <c r="K16" i="8"/>
  <c r="K14" i="8" s="1"/>
  <c r="K5" i="8" s="1"/>
  <c r="J16" i="8"/>
  <c r="J14" i="8" s="1"/>
  <c r="J5" i="8" s="1"/>
  <c r="U16" i="8"/>
  <c r="U14" i="8" s="1"/>
  <c r="U5" i="8" s="1"/>
  <c r="I16" i="8"/>
  <c r="I14" i="8" s="1"/>
  <c r="I5" i="8" s="1"/>
  <c r="T16" i="8"/>
  <c r="T14" i="8" s="1"/>
  <c r="T5" i="8" s="1"/>
  <c r="S16" i="8"/>
  <c r="S14" i="8" s="1"/>
  <c r="S5" i="8" s="1"/>
  <c r="G16" i="8"/>
  <c r="G14" i="8" s="1"/>
  <c r="G5" i="8" s="1"/>
  <c r="H16" i="8"/>
  <c r="H14" i="8" s="1"/>
  <c r="H5" i="8" s="1"/>
  <c r="R16" i="8"/>
  <c r="R14" i="8" s="1"/>
  <c r="R5" i="8" s="1"/>
  <c r="V16" i="8"/>
  <c r="V14" i="8" s="1"/>
  <c r="V5" i="8" s="1"/>
  <c r="N16" i="8"/>
  <c r="N14" i="8" s="1"/>
  <c r="N5" i="8" s="1"/>
  <c r="O16" i="8"/>
  <c r="O14" i="8" s="1"/>
  <c r="O5" i="8" s="1"/>
  <c r="M16" i="8"/>
  <c r="M14" i="8" s="1"/>
  <c r="M5" i="8" s="1"/>
  <c r="X19" i="8"/>
  <c r="W20" i="8"/>
  <c r="W18" i="8"/>
  <c r="L14" i="8"/>
  <c r="L5" i="8" s="1"/>
  <c r="V28" i="6"/>
  <c r="V9" i="6"/>
  <c r="O28" i="6"/>
  <c r="O9" i="6"/>
  <c r="M28" i="6"/>
  <c r="M9" i="6"/>
  <c r="N28" i="6"/>
  <c r="N9" i="6"/>
  <c r="Z28" i="6"/>
  <c r="Z9" i="6"/>
  <c r="Y28" i="6"/>
  <c r="Y9" i="6"/>
  <c r="X28" i="6"/>
  <c r="X9" i="6"/>
  <c r="W28" i="6"/>
  <c r="W9" i="6"/>
  <c r="AA28" i="6"/>
  <c r="AA9" i="6"/>
  <c r="L22" i="4"/>
  <c r="M21" i="4"/>
  <c r="D25" i="4"/>
  <c r="D24" i="4" s="1"/>
  <c r="D18" i="15"/>
  <c r="D16" i="15" s="1"/>
  <c r="D14" i="15" s="1"/>
  <c r="D5" i="15" s="1"/>
  <c r="G16" i="15"/>
  <c r="G14" i="15" s="1"/>
  <c r="G5" i="15" s="1"/>
  <c r="G6" i="15" s="1"/>
  <c r="AD20" i="20"/>
  <c r="W20" i="20"/>
  <c r="W13" i="20" s="1"/>
  <c r="W5" i="20" s="1"/>
  <c r="D22" i="20"/>
  <c r="AA20" i="20"/>
  <c r="AA13" i="20" s="1"/>
  <c r="AA5" i="20" s="1"/>
  <c r="AC20" i="20"/>
  <c r="M17" i="21"/>
  <c r="L17" i="21"/>
  <c r="G17" i="21"/>
  <c r="N17" i="21"/>
  <c r="L15" i="17"/>
  <c r="L13" i="17" s="1"/>
  <c r="L5" i="17" s="1"/>
  <c r="E15" i="10"/>
  <c r="D17" i="10"/>
  <c r="I15" i="10"/>
  <c r="H15" i="10"/>
  <c r="G15" i="10"/>
  <c r="Z15" i="10"/>
  <c r="F15" i="10"/>
  <c r="Y15" i="10"/>
  <c r="E15" i="9"/>
  <c r="E5" i="9" s="1"/>
  <c r="L21" i="6"/>
  <c r="L19" i="6" s="1"/>
  <c r="M20" i="6"/>
  <c r="AB30" i="6"/>
  <c r="E19" i="6"/>
  <c r="E17" i="6" s="1"/>
  <c r="D31" i="5"/>
  <c r="D25" i="5"/>
  <c r="P20" i="5"/>
  <c r="O21" i="5"/>
  <c r="O18" i="5"/>
  <c r="N19" i="5"/>
  <c r="O17" i="4"/>
  <c r="N18" i="4"/>
  <c r="X26" i="5"/>
  <c r="E16" i="4"/>
  <c r="E14" i="4" s="1"/>
  <c r="E6" i="4" s="1"/>
  <c r="M19" i="1"/>
  <c r="N18" i="1"/>
  <c r="W31" i="1"/>
  <c r="W25" i="1" s="1"/>
  <c r="X30" i="1"/>
  <c r="G17" i="16"/>
  <c r="G15" i="16" s="1"/>
  <c r="G13" i="16" s="1"/>
  <c r="G5" i="16" s="1"/>
  <c r="R17" i="16"/>
  <c r="R15" i="16" s="1"/>
  <c r="R13" i="16" s="1"/>
  <c r="R5" i="16" s="1"/>
  <c r="Q17" i="16"/>
  <c r="Q15" i="16" s="1"/>
  <c r="Q13" i="16" s="1"/>
  <c r="Q5" i="16" s="1"/>
  <c r="O17" i="16"/>
  <c r="O15" i="16" s="1"/>
  <c r="O13" i="16" s="1"/>
  <c r="O5" i="16" s="1"/>
  <c r="N17" i="16"/>
  <c r="N15" i="16" s="1"/>
  <c r="N13" i="16" s="1"/>
  <c r="N5" i="16" s="1"/>
  <c r="M17" i="16"/>
  <c r="M15" i="16" s="1"/>
  <c r="M13" i="16" s="1"/>
  <c r="M5" i="16" s="1"/>
  <c r="L17" i="16"/>
  <c r="L15" i="16" s="1"/>
  <c r="L13" i="16" s="1"/>
  <c r="L5" i="16" s="1"/>
  <c r="K17" i="16"/>
  <c r="K15" i="16" s="1"/>
  <c r="K13" i="16" s="1"/>
  <c r="K5" i="16" s="1"/>
  <c r="F17" i="16"/>
  <c r="J17" i="16"/>
  <c r="J15" i="16" s="1"/>
  <c r="J13" i="16" s="1"/>
  <c r="J5" i="16" s="1"/>
  <c r="U17" i="16"/>
  <c r="U15" i="16" s="1"/>
  <c r="U13" i="16" s="1"/>
  <c r="U5" i="16" s="1"/>
  <c r="I17" i="16"/>
  <c r="I15" i="16" s="1"/>
  <c r="I13" i="16" s="1"/>
  <c r="I5" i="16" s="1"/>
  <c r="T17" i="16"/>
  <c r="T15" i="16" s="1"/>
  <c r="T13" i="16" s="1"/>
  <c r="T5" i="16" s="1"/>
  <c r="H17" i="16"/>
  <c r="H15" i="16" s="1"/>
  <c r="H13" i="16" s="1"/>
  <c r="H5" i="16" s="1"/>
  <c r="S17" i="16"/>
  <c r="S15" i="16" s="1"/>
  <c r="S13" i="16" s="1"/>
  <c r="S5" i="16" s="1"/>
  <c r="K20" i="8"/>
  <c r="L20" i="8"/>
  <c r="AB13" i="20"/>
  <c r="AB5" i="20" s="1"/>
  <c r="X13" i="20"/>
  <c r="X5" i="20" s="1"/>
  <c r="V13" i="20"/>
  <c r="V5" i="20" s="1"/>
  <c r="D18" i="20"/>
  <c r="D15" i="20" s="1"/>
  <c r="AD13" i="20"/>
  <c r="AD5" i="20" s="1"/>
  <c r="AC13" i="20"/>
  <c r="AC5" i="20" s="1"/>
  <c r="O15" i="20"/>
  <c r="Y13" i="20"/>
  <c r="Y5" i="20" s="1"/>
  <c r="Z13" i="20"/>
  <c r="Z5" i="20" s="1"/>
  <c r="E15" i="21"/>
  <c r="E6" i="21" s="1"/>
  <c r="D22" i="10"/>
  <c r="E24" i="10"/>
  <c r="E13" i="10" s="1"/>
  <c r="E5" i="10" s="1"/>
  <c r="F21" i="6"/>
  <c r="J16" i="4"/>
  <c r="J14" i="4" s="1"/>
  <c r="J6" i="4" s="1"/>
  <c r="J7" i="4" s="1"/>
  <c r="I16" i="4"/>
  <c r="I14" i="4" s="1"/>
  <c r="I6" i="4" s="1"/>
  <c r="I7" i="4" s="1"/>
  <c r="H16" i="4"/>
  <c r="H14" i="4" s="1"/>
  <c r="H6" i="4" s="1"/>
  <c r="H7" i="4" s="1"/>
  <c r="F24" i="4"/>
  <c r="G16" i="4"/>
  <c r="G14" i="4" s="1"/>
  <c r="G6" i="4" s="1"/>
  <c r="G7" i="4" s="1"/>
  <c r="F16" i="4"/>
  <c r="L16" i="4"/>
  <c r="L14" i="4" s="1"/>
  <c r="L6" i="4" s="1"/>
  <c r="L7" i="4" s="1"/>
  <c r="K16" i="4"/>
  <c r="K14" i="4" s="1"/>
  <c r="K6" i="4" s="1"/>
  <c r="K7" i="4" s="1"/>
  <c r="W16" i="8" l="1"/>
  <c r="W14" i="8" s="1"/>
  <c r="W5" i="8" s="1"/>
  <c r="Y19" i="8"/>
  <c r="X20" i="8"/>
  <c r="X18" i="8"/>
  <c r="X16" i="8" s="1"/>
  <c r="AB28" i="6"/>
  <c r="AB9" i="6"/>
  <c r="M22" i="4"/>
  <c r="M16" i="4" s="1"/>
  <c r="M14" i="4" s="1"/>
  <c r="M6" i="4" s="1"/>
  <c r="M7" i="4" s="1"/>
  <c r="N21" i="4"/>
  <c r="N20" i="6"/>
  <c r="M21" i="6"/>
  <c r="AC30" i="6"/>
  <c r="Q20" i="5"/>
  <c r="P21" i="5"/>
  <c r="N17" i="5"/>
  <c r="P18" i="5"/>
  <c r="O19" i="5"/>
  <c r="O17" i="5" s="1"/>
  <c r="O18" i="4"/>
  <c r="P17" i="4"/>
  <c r="Y26" i="5"/>
  <c r="F14" i="4"/>
  <c r="F6" i="4" s="1"/>
  <c r="F7" i="4" s="1"/>
  <c r="O18" i="1"/>
  <c r="N19" i="1"/>
  <c r="Y30" i="1"/>
  <c r="X31" i="1"/>
  <c r="X25" i="1" s="1"/>
  <c r="D17" i="16"/>
  <c r="D15" i="16" s="1"/>
  <c r="D13" i="16" s="1"/>
  <c r="D5" i="16" s="1"/>
  <c r="F15" i="16"/>
  <c r="F13" i="16" s="1"/>
  <c r="F5" i="16" s="1"/>
  <c r="Z19" i="8" l="1"/>
  <c r="Y20" i="8"/>
  <c r="Y18" i="8"/>
  <c r="X14" i="8"/>
  <c r="X5" i="8" s="1"/>
  <c r="AC28" i="6"/>
  <c r="AC9" i="6"/>
  <c r="O21" i="4"/>
  <c r="N22" i="4"/>
  <c r="N16" i="4" s="1"/>
  <c r="N14" i="4" s="1"/>
  <c r="N6" i="4" s="1"/>
  <c r="N7" i="4" s="1"/>
  <c r="O20" i="6"/>
  <c r="N21" i="6"/>
  <c r="AD30" i="6"/>
  <c r="R20" i="5"/>
  <c r="Q21" i="5"/>
  <c r="Q18" i="5"/>
  <c r="P19" i="5"/>
  <c r="Q17" i="4"/>
  <c r="P18" i="4"/>
  <c r="Z26" i="5"/>
  <c r="O19" i="1"/>
  <c r="P18" i="1"/>
  <c r="Y31" i="1"/>
  <c r="Y25" i="1" s="1"/>
  <c r="Z30" i="1"/>
  <c r="E25" i="1"/>
  <c r="E23" i="1"/>
  <c r="F21" i="1"/>
  <c r="G21" i="1"/>
  <c r="H21" i="1"/>
  <c r="I21" i="1"/>
  <c r="J21" i="1"/>
  <c r="K21" i="1"/>
  <c r="L21" i="1"/>
  <c r="E21" i="1"/>
  <c r="F19" i="1"/>
  <c r="G19" i="1"/>
  <c r="H19" i="1"/>
  <c r="I19" i="1"/>
  <c r="J19" i="1"/>
  <c r="K19" i="1"/>
  <c r="L19" i="1"/>
  <c r="E19" i="1"/>
  <c r="G31" i="1"/>
  <c r="H31" i="1"/>
  <c r="I31" i="1"/>
  <c r="J31" i="1"/>
  <c r="K31" i="1"/>
  <c r="L31" i="1"/>
  <c r="M31" i="1"/>
  <c r="N31" i="1"/>
  <c r="O31" i="1"/>
  <c r="P31" i="1"/>
  <c r="Q31" i="1"/>
  <c r="F31" i="1"/>
  <c r="D14" i="1"/>
  <c r="Y16" i="8" l="1"/>
  <c r="Y14" i="8" s="1"/>
  <c r="Y5" i="8" s="1"/>
  <c r="AA19" i="8"/>
  <c r="Z20" i="8"/>
  <c r="Z18" i="8"/>
  <c r="Z16" i="8" s="1"/>
  <c r="AD28" i="6"/>
  <c r="AD9" i="6"/>
  <c r="O22" i="4"/>
  <c r="O16" i="4" s="1"/>
  <c r="O14" i="4" s="1"/>
  <c r="O6" i="4" s="1"/>
  <c r="O7" i="4" s="1"/>
  <c r="P21" i="4"/>
  <c r="P20" i="6"/>
  <c r="O21" i="6"/>
  <c r="AE30" i="6"/>
  <c r="S20" i="5"/>
  <c r="R21" i="5"/>
  <c r="P17" i="5"/>
  <c r="R18" i="5"/>
  <c r="Q19" i="5"/>
  <c r="Q17" i="5" s="1"/>
  <c r="Q18" i="4"/>
  <c r="R17" i="4"/>
  <c r="AA26" i="5"/>
  <c r="E17" i="1"/>
  <c r="E15" i="1" s="1"/>
  <c r="E6" i="1" s="1"/>
  <c r="Q18" i="1"/>
  <c r="P19" i="1"/>
  <c r="AA30" i="1"/>
  <c r="Z31" i="1"/>
  <c r="Z25" i="1" s="1"/>
  <c r="D21" i="1"/>
  <c r="AB19" i="8" l="1"/>
  <c r="AA20" i="8"/>
  <c r="AA18" i="8"/>
  <c r="Z14" i="8"/>
  <c r="Z5" i="8" s="1"/>
  <c r="AE28" i="6"/>
  <c r="AE9" i="6"/>
  <c r="Q21" i="4"/>
  <c r="P22" i="4"/>
  <c r="P16" i="4" s="1"/>
  <c r="P14" i="4" s="1"/>
  <c r="P6" i="4" s="1"/>
  <c r="P7" i="4" s="1"/>
  <c r="Q20" i="6"/>
  <c r="P21" i="6"/>
  <c r="AF30" i="6"/>
  <c r="T20" i="5"/>
  <c r="S21" i="5"/>
  <c r="S18" i="5"/>
  <c r="R19" i="5"/>
  <c r="S17" i="4"/>
  <c r="R18" i="4"/>
  <c r="AB26" i="5"/>
  <c r="Q19" i="1"/>
  <c r="R18" i="1"/>
  <c r="AA31" i="1"/>
  <c r="AA25" i="1" s="1"/>
  <c r="AB30" i="1"/>
  <c r="N28" i="20"/>
  <c r="N29" i="20" s="1"/>
  <c r="O28" i="20"/>
  <c r="O29" i="20" s="1"/>
  <c r="P28" i="20"/>
  <c r="P29" i="20" s="1"/>
  <c r="H28" i="20"/>
  <c r="M26" i="20"/>
  <c r="M27" i="20" s="1"/>
  <c r="N26" i="20"/>
  <c r="N27" i="20" s="1"/>
  <c r="O26" i="20"/>
  <c r="O27" i="20" s="1"/>
  <c r="H26" i="20"/>
  <c r="H27" i="20" s="1"/>
  <c r="I26" i="20"/>
  <c r="I27" i="20" s="1"/>
  <c r="I20" i="20" s="1"/>
  <c r="I13" i="20" s="1"/>
  <c r="I5" i="20" s="1"/>
  <c r="J26" i="20"/>
  <c r="J27" i="20" s="1"/>
  <c r="K26" i="20"/>
  <c r="K27" i="20" s="1"/>
  <c r="L26" i="20"/>
  <c r="L27" i="20" s="1"/>
  <c r="G26" i="20"/>
  <c r="G27" i="20" s="1"/>
  <c r="F26" i="20"/>
  <c r="L23" i="20"/>
  <c r="L24" i="20" s="1"/>
  <c r="L20" i="20" s="1"/>
  <c r="L13" i="20" s="1"/>
  <c r="L5" i="20" s="1"/>
  <c r="M23" i="20"/>
  <c r="M24" i="20" s="1"/>
  <c r="N23" i="20"/>
  <c r="N24" i="20" s="1"/>
  <c r="O23" i="20"/>
  <c r="O24" i="20" s="1"/>
  <c r="P23" i="20"/>
  <c r="P24" i="20" s="1"/>
  <c r="I23" i="20"/>
  <c r="I24" i="20" s="1"/>
  <c r="J23" i="20"/>
  <c r="J24" i="20" s="1"/>
  <c r="J20" i="20" s="1"/>
  <c r="J13" i="20" s="1"/>
  <c r="J5" i="20" s="1"/>
  <c r="K23" i="20"/>
  <c r="K24" i="20" s="1"/>
  <c r="H23" i="20"/>
  <c r="H24" i="20" s="1"/>
  <c r="AA16" i="8" l="1"/>
  <c r="AA14" i="8" s="1"/>
  <c r="AA5" i="8" s="1"/>
  <c r="AC19" i="8"/>
  <c r="AB20" i="8"/>
  <c r="AB18" i="8"/>
  <c r="AB16" i="8" s="1"/>
  <c r="AF28" i="6"/>
  <c r="AF9" i="6"/>
  <c r="Q22" i="4"/>
  <c r="Q16" i="4" s="1"/>
  <c r="Q14" i="4" s="1"/>
  <c r="Q6" i="4" s="1"/>
  <c r="Q7" i="4" s="1"/>
  <c r="R21" i="4"/>
  <c r="M28" i="20"/>
  <c r="M29" i="20" s="1"/>
  <c r="M20" i="20" s="1"/>
  <c r="M13" i="20" s="1"/>
  <c r="M5" i="20" s="1"/>
  <c r="H29" i="20"/>
  <c r="D29" i="20" s="1"/>
  <c r="G20" i="20"/>
  <c r="G13" i="20" s="1"/>
  <c r="G5" i="20" s="1"/>
  <c r="N20" i="20"/>
  <c r="N13" i="20" s="1"/>
  <c r="N5" i="20" s="1"/>
  <c r="K20" i="20"/>
  <c r="K13" i="20" s="1"/>
  <c r="K5" i="20" s="1"/>
  <c r="O20" i="20"/>
  <c r="O13" i="20" s="1"/>
  <c r="O5" i="20" s="1"/>
  <c r="H20" i="20"/>
  <c r="H13" i="20" s="1"/>
  <c r="H5" i="20" s="1"/>
  <c r="R20" i="6"/>
  <c r="Q21" i="6"/>
  <c r="AG30" i="6"/>
  <c r="U20" i="5"/>
  <c r="T21" i="5"/>
  <c r="T18" i="5"/>
  <c r="S19" i="5"/>
  <c r="S17" i="5" s="1"/>
  <c r="R17" i="5"/>
  <c r="T17" i="4"/>
  <c r="S18" i="4"/>
  <c r="AC26" i="5"/>
  <c r="R19" i="1"/>
  <c r="S18" i="1"/>
  <c r="AB31" i="1"/>
  <c r="AB25" i="1" s="1"/>
  <c r="AC30" i="1"/>
  <c r="S26" i="20"/>
  <c r="S27" i="20" s="1"/>
  <c r="Q26" i="20"/>
  <c r="Q27" i="20" s="1"/>
  <c r="P26" i="20"/>
  <c r="P27" i="20" s="1"/>
  <c r="U26" i="20"/>
  <c r="U27" i="20" s="1"/>
  <c r="U20" i="20" s="1"/>
  <c r="U13" i="20" s="1"/>
  <c r="U5" i="20" s="1"/>
  <c r="T26" i="20"/>
  <c r="T27" i="20" s="1"/>
  <c r="R26" i="20"/>
  <c r="R27" i="20" s="1"/>
  <c r="R23" i="20"/>
  <c r="R24" i="20" s="1"/>
  <c r="S23" i="20"/>
  <c r="S24" i="20" s="1"/>
  <c r="Q23" i="20"/>
  <c r="Q24" i="20" s="1"/>
  <c r="D24" i="20" s="1"/>
  <c r="T23" i="20"/>
  <c r="T24" i="20" s="1"/>
  <c r="AD19" i="8" l="1"/>
  <c r="AC20" i="8"/>
  <c r="AC18" i="8"/>
  <c r="AB14" i="8"/>
  <c r="AB5" i="8" s="1"/>
  <c r="AG28" i="6"/>
  <c r="AG9" i="6"/>
  <c r="R22" i="4"/>
  <c r="R16" i="4" s="1"/>
  <c r="R14" i="4" s="1"/>
  <c r="R6" i="4" s="1"/>
  <c r="R7" i="4" s="1"/>
  <c r="S21" i="4"/>
  <c r="D27" i="20"/>
  <c r="D20" i="20" s="1"/>
  <c r="D13" i="20" s="1"/>
  <c r="D5" i="20" s="1"/>
  <c r="S20" i="20"/>
  <c r="S13" i="20" s="1"/>
  <c r="S5" i="20" s="1"/>
  <c r="P20" i="20"/>
  <c r="P13" i="20" s="1"/>
  <c r="P5" i="20" s="1"/>
  <c r="Q20" i="20"/>
  <c r="Q13" i="20" s="1"/>
  <c r="Q5" i="20" s="1"/>
  <c r="T20" i="20"/>
  <c r="T13" i="20" s="1"/>
  <c r="T5" i="20" s="1"/>
  <c r="R20" i="20"/>
  <c r="R13" i="20" s="1"/>
  <c r="R5" i="20" s="1"/>
  <c r="S20" i="6"/>
  <c r="R21" i="6"/>
  <c r="AH30" i="6"/>
  <c r="AI30" i="6"/>
  <c r="V20" i="5"/>
  <c r="U21" i="5"/>
  <c r="U18" i="5"/>
  <c r="T19" i="5"/>
  <c r="T18" i="4"/>
  <c r="U17" i="4"/>
  <c r="AD26" i="5"/>
  <c r="T18" i="1"/>
  <c r="S19" i="1"/>
  <c r="AC31" i="1"/>
  <c r="AC25" i="1" s="1"/>
  <c r="AD30" i="1"/>
  <c r="I28" i="10"/>
  <c r="AC16" i="8" l="1"/>
  <c r="AC14" i="8" s="1"/>
  <c r="AC5" i="8" s="1"/>
  <c r="AE19" i="8"/>
  <c r="AD20" i="8"/>
  <c r="AD18" i="8"/>
  <c r="AD16" i="8" s="1"/>
  <c r="AI28" i="6"/>
  <c r="AI9" i="6"/>
  <c r="AH28" i="6"/>
  <c r="AH9" i="6"/>
  <c r="S22" i="4"/>
  <c r="S16" i="4" s="1"/>
  <c r="S14" i="4" s="1"/>
  <c r="S6" i="4" s="1"/>
  <c r="S7" i="4" s="1"/>
  <c r="T21" i="4"/>
  <c r="T20" i="6"/>
  <c r="S21" i="6"/>
  <c r="W20" i="5"/>
  <c r="V21" i="5"/>
  <c r="V18" i="5"/>
  <c r="U19" i="5"/>
  <c r="U17" i="5" s="1"/>
  <c r="T17" i="5"/>
  <c r="V17" i="4"/>
  <c r="U18" i="4"/>
  <c r="AE26" i="5"/>
  <c r="U18" i="1"/>
  <c r="T19" i="1"/>
  <c r="AE30" i="1"/>
  <c r="AD31" i="1"/>
  <c r="AD25" i="1" s="1"/>
  <c r="J28" i="10"/>
  <c r="I29" i="10"/>
  <c r="AF19" i="8" l="1"/>
  <c r="AE20" i="8"/>
  <c r="AD14" i="8"/>
  <c r="AD5" i="8" s="1"/>
  <c r="AE18" i="8"/>
  <c r="T22" i="4"/>
  <c r="T16" i="4" s="1"/>
  <c r="T14" i="4" s="1"/>
  <c r="T6" i="4" s="1"/>
  <c r="T7" i="4" s="1"/>
  <c r="U21" i="4"/>
  <c r="U20" i="6"/>
  <c r="T21" i="6"/>
  <c r="X20" i="5"/>
  <c r="W21" i="5"/>
  <c r="W18" i="5"/>
  <c r="V19" i="5"/>
  <c r="V18" i="4"/>
  <c r="W17" i="4"/>
  <c r="AF26" i="5"/>
  <c r="U19" i="1"/>
  <c r="D19" i="1" s="1"/>
  <c r="V18" i="1"/>
  <c r="AF30" i="1"/>
  <c r="AE31" i="1"/>
  <c r="AE25" i="1" s="1"/>
  <c r="K28" i="10"/>
  <c r="J29" i="10"/>
  <c r="AE16" i="8" l="1"/>
  <c r="AE14" i="8" s="1"/>
  <c r="AE5" i="8" s="1"/>
  <c r="AG19" i="8"/>
  <c r="AF20" i="8"/>
  <c r="AF18" i="8"/>
  <c r="AF16" i="8" s="1"/>
  <c r="U22" i="4"/>
  <c r="U16" i="4" s="1"/>
  <c r="U14" i="4" s="1"/>
  <c r="U6" i="4" s="1"/>
  <c r="U7" i="4" s="1"/>
  <c r="V21" i="4"/>
  <c r="V20" i="6"/>
  <c r="U21" i="6"/>
  <c r="Y20" i="5"/>
  <c r="X21" i="5"/>
  <c r="V17" i="5"/>
  <c r="X18" i="5"/>
  <c r="W19" i="5"/>
  <c r="W17" i="5" s="1"/>
  <c r="W18" i="4"/>
  <c r="X17" i="4"/>
  <c r="AG26" i="5"/>
  <c r="V19" i="1"/>
  <c r="W18" i="1"/>
  <c r="AG30" i="1"/>
  <c r="AF31" i="1"/>
  <c r="AF25" i="1" s="1"/>
  <c r="L28" i="10"/>
  <c r="K29" i="10"/>
  <c r="AH19" i="8" l="1"/>
  <c r="AG20" i="8"/>
  <c r="AG18" i="8"/>
  <c r="AF14" i="8"/>
  <c r="AF5" i="8" s="1"/>
  <c r="W21" i="4"/>
  <c r="V22" i="4"/>
  <c r="V16" i="4" s="1"/>
  <c r="V14" i="4" s="1"/>
  <c r="V6" i="4" s="1"/>
  <c r="V7" i="4" s="1"/>
  <c r="W20" i="6"/>
  <c r="V21" i="6"/>
  <c r="Z20" i="5"/>
  <c r="Y21" i="5"/>
  <c r="Y18" i="5"/>
  <c r="X19" i="5"/>
  <c r="X17" i="5" s="1"/>
  <c r="Y17" i="4"/>
  <c r="X18" i="4"/>
  <c r="AH26" i="5"/>
  <c r="W19" i="1"/>
  <c r="X18" i="1"/>
  <c r="AH30" i="1"/>
  <c r="AG31" i="1"/>
  <c r="AG25" i="1" s="1"/>
  <c r="M28" i="10"/>
  <c r="L29" i="10"/>
  <c r="AG16" i="8" l="1"/>
  <c r="AG14" i="8" s="1"/>
  <c r="AG5" i="8" s="1"/>
  <c r="AI19" i="8"/>
  <c r="AI20" i="8" s="1"/>
  <c r="AH20" i="8"/>
  <c r="AI18" i="8"/>
  <c r="AI16" i="8" s="1"/>
  <c r="AH18" i="8"/>
  <c r="X21" i="4"/>
  <c r="W22" i="4"/>
  <c r="W16" i="4" s="1"/>
  <c r="W14" i="4" s="1"/>
  <c r="W6" i="4" s="1"/>
  <c r="W7" i="4" s="1"/>
  <c r="X20" i="6"/>
  <c r="W21" i="6"/>
  <c r="AA20" i="5"/>
  <c r="Z21" i="5"/>
  <c r="Z18" i="5"/>
  <c r="Y19" i="5"/>
  <c r="Y17" i="5" s="1"/>
  <c r="Z17" i="4"/>
  <c r="Y18" i="4"/>
  <c r="AI26" i="5"/>
  <c r="X19" i="1"/>
  <c r="Y18" i="1"/>
  <c r="AH31" i="1"/>
  <c r="AH25" i="1" s="1"/>
  <c r="AI30" i="1"/>
  <c r="N28" i="10"/>
  <c r="M29" i="10"/>
  <c r="AH16" i="8" l="1"/>
  <c r="AH14" i="8" s="1"/>
  <c r="AH5" i="8" s="1"/>
  <c r="D20" i="8"/>
  <c r="AI14" i="8"/>
  <c r="AI5" i="8" s="1"/>
  <c r="D18" i="8"/>
  <c r="X22" i="4"/>
  <c r="X16" i="4" s="1"/>
  <c r="X14" i="4" s="1"/>
  <c r="X6" i="4" s="1"/>
  <c r="X7" i="4" s="1"/>
  <c r="Y21" i="4"/>
  <c r="Y20" i="6"/>
  <c r="X21" i="6"/>
  <c r="AB20" i="5"/>
  <c r="AA21" i="5"/>
  <c r="AA18" i="5"/>
  <c r="Z19" i="5"/>
  <c r="Z17" i="5" s="1"/>
  <c r="AA17" i="4"/>
  <c r="Z18" i="4"/>
  <c r="Z18" i="1"/>
  <c r="Y19" i="1"/>
  <c r="AI31" i="1"/>
  <c r="AI25" i="1" s="1"/>
  <c r="O28" i="10"/>
  <c r="N29" i="10"/>
  <c r="F6" i="11"/>
  <c r="G6" i="11"/>
  <c r="H6" i="11"/>
  <c r="I6" i="11"/>
  <c r="J6" i="11"/>
  <c r="K6" i="11"/>
  <c r="L6" i="11"/>
  <c r="E6" i="11"/>
  <c r="D6" i="11" s="1"/>
  <c r="F5" i="21"/>
  <c r="G5" i="21"/>
  <c r="H5" i="21"/>
  <c r="I5" i="21"/>
  <c r="J5" i="21"/>
  <c r="K5" i="21"/>
  <c r="L5" i="21"/>
  <c r="E5" i="21"/>
  <c r="F5" i="12"/>
  <c r="G5" i="12"/>
  <c r="H5" i="12"/>
  <c r="I5" i="12"/>
  <c r="J5" i="12"/>
  <c r="K5" i="12"/>
  <c r="L5" i="12"/>
  <c r="E5" i="12"/>
  <c r="G6" i="13"/>
  <c r="H6" i="13"/>
  <c r="F6" i="13"/>
  <c r="L28" i="5"/>
  <c r="I5" i="6"/>
  <c r="J5" i="6"/>
  <c r="K5" i="6"/>
  <c r="L5" i="6"/>
  <c r="H5" i="6"/>
  <c r="G5" i="6"/>
  <c r="F5" i="6"/>
  <c r="E5" i="6"/>
  <c r="F4" i="4"/>
  <c r="G4" i="4"/>
  <c r="H4" i="4"/>
  <c r="I4" i="4"/>
  <c r="J4" i="4"/>
  <c r="K4" i="4"/>
  <c r="L4" i="4"/>
  <c r="E4" i="4"/>
  <c r="G32" i="1"/>
  <c r="H32" i="1"/>
  <c r="I32" i="1"/>
  <c r="J32" i="1"/>
  <c r="K32" i="1"/>
  <c r="L32" i="1"/>
  <c r="F45" i="1"/>
  <c r="F32" i="1" s="1"/>
  <c r="G44" i="1"/>
  <c r="H22" i="1"/>
  <c r="F22" i="1"/>
  <c r="F23" i="1" s="1"/>
  <c r="S31" i="1"/>
  <c r="T31" i="1"/>
  <c r="U31" i="1"/>
  <c r="R31" i="1"/>
  <c r="Q26" i="1"/>
  <c r="P26" i="1"/>
  <c r="Q25" i="6"/>
  <c r="Q26" i="6" s="1"/>
  <c r="H25" i="6"/>
  <c r="F25" i="6"/>
  <c r="H22" i="6"/>
  <c r="F4" i="6"/>
  <c r="G4" i="6"/>
  <c r="H4" i="6"/>
  <c r="I4" i="6"/>
  <c r="J4" i="6"/>
  <c r="K4" i="6"/>
  <c r="L4" i="6"/>
  <c r="E4" i="6"/>
  <c r="F4" i="5"/>
  <c r="G4" i="5"/>
  <c r="H4" i="5"/>
  <c r="I4" i="5"/>
  <c r="J4" i="5"/>
  <c r="K4" i="5"/>
  <c r="L4" i="5"/>
  <c r="E4" i="5"/>
  <c r="G4" i="14"/>
  <c r="H4" i="14"/>
  <c r="I4" i="14"/>
  <c r="J4" i="14"/>
  <c r="K4" i="14"/>
  <c r="L4" i="14"/>
  <c r="F4" i="14"/>
  <c r="H20" i="14"/>
  <c r="Q21" i="14" s="1"/>
  <c r="Q22" i="14" s="1"/>
  <c r="D4" i="1"/>
  <c r="D4" i="7"/>
  <c r="F4" i="8"/>
  <c r="G4" i="8"/>
  <c r="H4" i="8"/>
  <c r="I4" i="8"/>
  <c r="J4" i="8"/>
  <c r="K4" i="8"/>
  <c r="L4" i="8"/>
  <c r="E4" i="8"/>
  <c r="F4" i="9"/>
  <c r="G4" i="9"/>
  <c r="H4" i="9"/>
  <c r="I4" i="9"/>
  <c r="J4" i="9"/>
  <c r="K4" i="9"/>
  <c r="L4" i="9"/>
  <c r="E4" i="9"/>
  <c r="F4" i="10"/>
  <c r="G4" i="10"/>
  <c r="H4" i="10"/>
  <c r="I4" i="10"/>
  <c r="J4" i="10"/>
  <c r="K4" i="10"/>
  <c r="L4" i="10"/>
  <c r="E4" i="10"/>
  <c r="F4" i="19"/>
  <c r="G4" i="19"/>
  <c r="H4" i="19"/>
  <c r="I4" i="19"/>
  <c r="J4" i="19"/>
  <c r="K4" i="19"/>
  <c r="L4" i="19"/>
  <c r="E4" i="19"/>
  <c r="F4" i="22"/>
  <c r="G4" i="22"/>
  <c r="H4" i="22"/>
  <c r="I4" i="22"/>
  <c r="J4" i="22"/>
  <c r="K4" i="22"/>
  <c r="L4" i="22"/>
  <c r="E4" i="22"/>
  <c r="F4" i="12"/>
  <c r="G4" i="12"/>
  <c r="H4" i="12"/>
  <c r="I4" i="12"/>
  <c r="J4" i="12"/>
  <c r="K4" i="12"/>
  <c r="L4" i="12"/>
  <c r="E4" i="12"/>
  <c r="F4" i="13"/>
  <c r="G4" i="13"/>
  <c r="H4" i="13"/>
  <c r="I4" i="13"/>
  <c r="J4" i="13"/>
  <c r="K4" i="13"/>
  <c r="L4" i="13"/>
  <c r="E4" i="13"/>
  <c r="F4" i="15"/>
  <c r="G4" i="15"/>
  <c r="H4" i="15"/>
  <c r="I4" i="15"/>
  <c r="J4" i="15"/>
  <c r="K4" i="15"/>
  <c r="L4" i="15"/>
  <c r="E4" i="15"/>
  <c r="F4" i="16"/>
  <c r="G4" i="16"/>
  <c r="H4" i="16"/>
  <c r="I4" i="16"/>
  <c r="J4" i="16"/>
  <c r="K4" i="16"/>
  <c r="L4" i="16"/>
  <c r="E4" i="16"/>
  <c r="D4" i="14"/>
  <c r="D4" i="13"/>
  <c r="F4" i="21"/>
  <c r="G4" i="21"/>
  <c r="H4" i="21"/>
  <c r="I4" i="21"/>
  <c r="J4" i="21"/>
  <c r="K4" i="21"/>
  <c r="L4" i="21"/>
  <c r="E4" i="21"/>
  <c r="F4" i="17"/>
  <c r="G4" i="17"/>
  <c r="H4" i="17"/>
  <c r="I4" i="17"/>
  <c r="J4" i="17"/>
  <c r="K4" i="17"/>
  <c r="L4" i="17"/>
  <c r="E4" i="17"/>
  <c r="F4" i="11"/>
  <c r="G4" i="11"/>
  <c r="H4" i="11"/>
  <c r="I4" i="11"/>
  <c r="J4" i="11"/>
  <c r="K4" i="11"/>
  <c r="L4" i="11"/>
  <c r="E4" i="11"/>
  <c r="F4" i="20"/>
  <c r="G4" i="20"/>
  <c r="H4" i="20"/>
  <c r="I4" i="20"/>
  <c r="J4" i="20"/>
  <c r="K4" i="20"/>
  <c r="L4" i="20"/>
  <c r="E4" i="20"/>
  <c r="E30" i="18"/>
  <c r="F30" i="18" s="1"/>
  <c r="G25" i="21"/>
  <c r="L25" i="21"/>
  <c r="E32" i="21"/>
  <c r="F32" i="21" s="1"/>
  <c r="P19" i="21"/>
  <c r="P20" i="21" s="1"/>
  <c r="U19" i="21"/>
  <c r="H18" i="21"/>
  <c r="I18" i="21" s="1"/>
  <c r="J18" i="21" s="1"/>
  <c r="K18" i="21" s="1"/>
  <c r="T19" i="21" s="1"/>
  <c r="T20" i="21" s="1"/>
  <c r="F18" i="21"/>
  <c r="O19" i="21" s="1"/>
  <c r="O20" i="21" s="1"/>
  <c r="P19" i="17"/>
  <c r="P20" i="17" s="1"/>
  <c r="U19" i="17"/>
  <c r="U20" i="17" s="1"/>
  <c r="H18" i="17"/>
  <c r="Q19" i="17" s="1"/>
  <c r="Q20" i="17" s="1"/>
  <c r="F18" i="17"/>
  <c r="O19" i="17" s="1"/>
  <c r="O20" i="17" s="1"/>
  <c r="Q18" i="22"/>
  <c r="Q19" i="22" s="1"/>
  <c r="Q17" i="22" s="1"/>
  <c r="Q15" i="22" s="1"/>
  <c r="Q6" i="22" s="1"/>
  <c r="Q7" i="22" s="1"/>
  <c r="H18" i="22"/>
  <c r="F18" i="22"/>
  <c r="D16" i="8" l="1"/>
  <c r="D14" i="8" s="1"/>
  <c r="D5" i="8" s="1"/>
  <c r="Z21" i="4"/>
  <c r="Y22" i="4"/>
  <c r="Y16" i="4" s="1"/>
  <c r="Y14" i="4" s="1"/>
  <c r="Y6" i="4" s="1"/>
  <c r="Y7" i="4" s="1"/>
  <c r="D4" i="16"/>
  <c r="D4" i="15"/>
  <c r="I18" i="22"/>
  <c r="H19" i="22"/>
  <c r="H17" i="22" s="1"/>
  <c r="H15" i="22" s="1"/>
  <c r="H6" i="22" s="1"/>
  <c r="H7" i="22" s="1"/>
  <c r="P18" i="22"/>
  <c r="P19" i="22" s="1"/>
  <c r="P17" i="22" s="1"/>
  <c r="P15" i="22" s="1"/>
  <c r="P6" i="22" s="1"/>
  <c r="P7" i="22" s="1"/>
  <c r="F19" i="22"/>
  <c r="D4" i="19"/>
  <c r="D4" i="20"/>
  <c r="D5" i="21"/>
  <c r="O17" i="21"/>
  <c r="V19" i="21"/>
  <c r="U20" i="21"/>
  <c r="O15" i="17"/>
  <c r="O13" i="17" s="1"/>
  <c r="O5" i="17" s="1"/>
  <c r="Z20" i="6"/>
  <c r="Y21" i="6"/>
  <c r="AC20" i="5"/>
  <c r="AB21" i="5"/>
  <c r="AB18" i="5"/>
  <c r="AA19" i="5"/>
  <c r="AA17" i="5" s="1"/>
  <c r="AB17" i="4"/>
  <c r="AA18" i="4"/>
  <c r="G23" i="1"/>
  <c r="G17" i="1" s="1"/>
  <c r="H44" i="1"/>
  <c r="I44" i="1" s="1"/>
  <c r="J44" i="1" s="1"/>
  <c r="K44" i="1" s="1"/>
  <c r="L44" i="1" s="1"/>
  <c r="Z19" i="1"/>
  <c r="AA18" i="1"/>
  <c r="F17" i="1"/>
  <c r="D32" i="1"/>
  <c r="D31" i="1"/>
  <c r="I22" i="6"/>
  <c r="J22" i="6" s="1"/>
  <c r="K22" i="6" s="1"/>
  <c r="M23" i="6"/>
  <c r="P25" i="6"/>
  <c r="P26" i="6" s="1"/>
  <c r="F26" i="6"/>
  <c r="R25" i="6"/>
  <c r="R26" i="6" s="1"/>
  <c r="H26" i="6"/>
  <c r="H19" i="6" s="1"/>
  <c r="D5" i="6"/>
  <c r="M28" i="5"/>
  <c r="M29" i="5" s="1"/>
  <c r="L29" i="5"/>
  <c r="Q19" i="14"/>
  <c r="Q17" i="14" s="1"/>
  <c r="Q7" i="14" s="1"/>
  <c r="D5" i="12"/>
  <c r="G32" i="21"/>
  <c r="G26" i="21" s="1"/>
  <c r="G24" i="21" s="1"/>
  <c r="G15" i="21" s="1"/>
  <c r="G6" i="21" s="1"/>
  <c r="D4" i="21"/>
  <c r="D4" i="17"/>
  <c r="D4" i="11"/>
  <c r="P28" i="10"/>
  <c r="O29" i="10"/>
  <c r="D4" i="4"/>
  <c r="I22" i="1"/>
  <c r="H23" i="1"/>
  <c r="H17" i="1" s="1"/>
  <c r="D4" i="8"/>
  <c r="D4" i="10"/>
  <c r="AD19" i="21"/>
  <c r="AD20" i="21" s="1"/>
  <c r="F25" i="21"/>
  <c r="K25" i="21"/>
  <c r="J25" i="21"/>
  <c r="H25" i="21"/>
  <c r="S19" i="21"/>
  <c r="S20" i="21" s="1"/>
  <c r="I25" i="21"/>
  <c r="R19" i="21"/>
  <c r="Q19" i="21"/>
  <c r="Q20" i="21" s="1"/>
  <c r="D4" i="22"/>
  <c r="D4" i="12"/>
  <c r="D4" i="9"/>
  <c r="D4" i="5"/>
  <c r="I25" i="6"/>
  <c r="I26" i="6" s="1"/>
  <c r="I19" i="6" s="1"/>
  <c r="D4" i="6"/>
  <c r="I20" i="14"/>
  <c r="R21" i="14" s="1"/>
  <c r="R22" i="14" s="1"/>
  <c r="R19" i="14" s="1"/>
  <c r="R17" i="14" s="1"/>
  <c r="R7" i="14" s="1"/>
  <c r="G30" i="18"/>
  <c r="G24" i="18" s="1"/>
  <c r="G22" i="18" s="1"/>
  <c r="V19" i="17"/>
  <c r="V20" i="17" s="1"/>
  <c r="V15" i="17" s="1"/>
  <c r="V13" i="17" s="1"/>
  <c r="V5" i="17" s="1"/>
  <c r="I18" i="17"/>
  <c r="S18" i="22"/>
  <c r="S19" i="22" s="1"/>
  <c r="S17" i="22" s="1"/>
  <c r="S15" i="22" s="1"/>
  <c r="S6" i="22" s="1"/>
  <c r="S7" i="22" s="1"/>
  <c r="R18" i="22"/>
  <c r="R19" i="22" s="1"/>
  <c r="R17" i="22" s="1"/>
  <c r="R15" i="22" s="1"/>
  <c r="R6" i="22" s="1"/>
  <c r="R7" i="22" s="1"/>
  <c r="Z22" i="4" l="1"/>
  <c r="Z16" i="4" s="1"/>
  <c r="Z14" i="4" s="1"/>
  <c r="Z6" i="4" s="1"/>
  <c r="Z7" i="4" s="1"/>
  <c r="AA21" i="4"/>
  <c r="F17" i="22"/>
  <c r="F15" i="22" s="1"/>
  <c r="F6" i="22" s="1"/>
  <c r="F7" i="22" s="1"/>
  <c r="J18" i="22"/>
  <c r="I19" i="22"/>
  <c r="I17" i="22" s="1"/>
  <c r="I15" i="22" s="1"/>
  <c r="I6" i="22" s="1"/>
  <c r="I7" i="22" s="1"/>
  <c r="H32" i="21"/>
  <c r="R20" i="21"/>
  <c r="W19" i="21"/>
  <c r="V20" i="21"/>
  <c r="AD17" i="21"/>
  <c r="AD15" i="21" s="1"/>
  <c r="AD6" i="21" s="1"/>
  <c r="AA20" i="6"/>
  <c r="Z21" i="6"/>
  <c r="N28" i="5"/>
  <c r="N29" i="5" s="1"/>
  <c r="AD20" i="5"/>
  <c r="AC21" i="5"/>
  <c r="AC18" i="5"/>
  <c r="AB19" i="5"/>
  <c r="AB17" i="5" s="1"/>
  <c r="AC17" i="4"/>
  <c r="AB18" i="4"/>
  <c r="AB18" i="1"/>
  <c r="AA19" i="1"/>
  <c r="M44" i="1"/>
  <c r="L23" i="1"/>
  <c r="L17" i="1" s="1"/>
  <c r="N23" i="6"/>
  <c r="M24" i="6"/>
  <c r="F19" i="6"/>
  <c r="D25" i="21"/>
  <c r="I32" i="21"/>
  <c r="H26" i="21"/>
  <c r="H24" i="21" s="1"/>
  <c r="F26" i="21"/>
  <c r="W19" i="17"/>
  <c r="W20" i="17" s="1"/>
  <c r="W15" i="17" s="1"/>
  <c r="W13" i="17" s="1"/>
  <c r="W5" i="17" s="1"/>
  <c r="Q28" i="10"/>
  <c r="P29" i="10"/>
  <c r="J22" i="1"/>
  <c r="I23" i="1"/>
  <c r="I17" i="1" s="1"/>
  <c r="O28" i="5"/>
  <c r="O29" i="5" s="1"/>
  <c r="J25" i="6"/>
  <c r="J26" i="6" s="1"/>
  <c r="J19" i="6" s="1"/>
  <c r="S25" i="6"/>
  <c r="S26" i="6" s="1"/>
  <c r="J20" i="14"/>
  <c r="S21" i="14" s="1"/>
  <c r="S22" i="14" s="1"/>
  <c r="S19" i="14" s="1"/>
  <c r="S17" i="14" s="1"/>
  <c r="S7" i="14" s="1"/>
  <c r="H30" i="18"/>
  <c r="J18" i="17"/>
  <c r="R19" i="17"/>
  <c r="R20" i="17" s="1"/>
  <c r="AA22" i="4" l="1"/>
  <c r="AA16" i="4" s="1"/>
  <c r="AA14" i="4" s="1"/>
  <c r="AA6" i="4" s="1"/>
  <c r="AA7" i="4" s="1"/>
  <c r="AB21" i="4"/>
  <c r="K18" i="22"/>
  <c r="J19" i="22"/>
  <c r="T18" i="22"/>
  <c r="T19" i="22" s="1"/>
  <c r="T17" i="22" s="1"/>
  <c r="T15" i="22" s="1"/>
  <c r="T6" i="22" s="1"/>
  <c r="T7" i="22" s="1"/>
  <c r="F24" i="21"/>
  <c r="W20" i="21"/>
  <c r="Y19" i="21"/>
  <c r="Y20" i="21" s="1"/>
  <c r="X19" i="21"/>
  <c r="V17" i="21"/>
  <c r="V15" i="21" s="1"/>
  <c r="V6" i="21" s="1"/>
  <c r="AB19" i="21"/>
  <c r="AB20" i="21" s="1"/>
  <c r="Y19" i="17"/>
  <c r="Y20" i="17" s="1"/>
  <c r="Y15" i="17" s="1"/>
  <c r="Y13" i="17" s="1"/>
  <c r="Y5" i="17" s="1"/>
  <c r="X19" i="17"/>
  <c r="X20" i="17" s="1"/>
  <c r="X15" i="17" s="1"/>
  <c r="X13" i="17" s="1"/>
  <c r="X5" i="17" s="1"/>
  <c r="AB19" i="17"/>
  <c r="AB20" i="17" s="1"/>
  <c r="AB15" i="17" s="1"/>
  <c r="AB13" i="17" s="1"/>
  <c r="AB5" i="17" s="1"/>
  <c r="AB20" i="6"/>
  <c r="AA21" i="6"/>
  <c r="AA19" i="6" s="1"/>
  <c r="AA17" i="6" s="1"/>
  <c r="AA7" i="6" s="1"/>
  <c r="AA8" i="6" s="1"/>
  <c r="AE20" i="5"/>
  <c r="AD21" i="5"/>
  <c r="AD18" i="5"/>
  <c r="AC19" i="5"/>
  <c r="AC17" i="5" s="1"/>
  <c r="AC18" i="4"/>
  <c r="AD17" i="4"/>
  <c r="M23" i="1"/>
  <c r="M17" i="1" s="1"/>
  <c r="N44" i="1"/>
  <c r="AC18" i="1"/>
  <c r="AB19" i="1"/>
  <c r="M19" i="6"/>
  <c r="M17" i="6" s="1"/>
  <c r="M7" i="6" s="1"/>
  <c r="M8" i="6" s="1"/>
  <c r="O23" i="6"/>
  <c r="N24" i="6"/>
  <c r="N19" i="6" s="1"/>
  <c r="N17" i="6" s="1"/>
  <c r="N7" i="6" s="1"/>
  <c r="N8" i="6" s="1"/>
  <c r="J32" i="21"/>
  <c r="I26" i="21"/>
  <c r="I24" i="21" s="1"/>
  <c r="R28" i="10"/>
  <c r="Q29" i="10"/>
  <c r="K22" i="1"/>
  <c r="K23" i="1" s="1"/>
  <c r="K17" i="1" s="1"/>
  <c r="J23" i="1"/>
  <c r="J17" i="1" s="1"/>
  <c r="K25" i="6"/>
  <c r="T25" i="6"/>
  <c r="T26" i="6" s="1"/>
  <c r="K20" i="14"/>
  <c r="T21" i="14" s="1"/>
  <c r="T22" i="14" s="1"/>
  <c r="T19" i="14" s="1"/>
  <c r="T17" i="14" s="1"/>
  <c r="T7" i="14" s="1"/>
  <c r="I30" i="18"/>
  <c r="AA19" i="17"/>
  <c r="AA20" i="17" s="1"/>
  <c r="AA15" i="17" s="1"/>
  <c r="AA13" i="17" s="1"/>
  <c r="AA5" i="17" s="1"/>
  <c r="Z19" i="17"/>
  <c r="Z20" i="17" s="1"/>
  <c r="Z15" i="17" s="1"/>
  <c r="Z13" i="17" s="1"/>
  <c r="Z5" i="17" s="1"/>
  <c r="K18" i="17"/>
  <c r="T19" i="17" s="1"/>
  <c r="S19" i="17"/>
  <c r="AB22" i="4" l="1"/>
  <c r="AB16" i="4" s="1"/>
  <c r="AB14" i="4" s="1"/>
  <c r="AB6" i="4" s="1"/>
  <c r="AB7" i="4" s="1"/>
  <c r="AC21" i="4"/>
  <c r="J17" i="22"/>
  <c r="J15" i="22" s="1"/>
  <c r="J6" i="22" s="1"/>
  <c r="J7" i="22" s="1"/>
  <c r="U18" i="22"/>
  <c r="U19" i="22" s="1"/>
  <c r="U17" i="22" s="1"/>
  <c r="U15" i="22" s="1"/>
  <c r="U6" i="22" s="1"/>
  <c r="U7" i="22" s="1"/>
  <c r="K19" i="22"/>
  <c r="K17" i="22" s="1"/>
  <c r="K15" i="22" s="1"/>
  <c r="K6" i="22" s="1"/>
  <c r="K7" i="22" s="1"/>
  <c r="AB17" i="21"/>
  <c r="AB15" i="21" s="1"/>
  <c r="AB6" i="21" s="1"/>
  <c r="Y17" i="21"/>
  <c r="Y15" i="21" s="1"/>
  <c r="Y6" i="21" s="1"/>
  <c r="X20" i="21"/>
  <c r="AA19" i="21"/>
  <c r="AA20" i="21" s="1"/>
  <c r="AC19" i="21"/>
  <c r="AC20" i="21" s="1"/>
  <c r="Z19" i="21"/>
  <c r="Z20" i="21" s="1"/>
  <c r="W17" i="21"/>
  <c r="W15" i="21" s="1"/>
  <c r="W6" i="21" s="1"/>
  <c r="AC19" i="17"/>
  <c r="AC20" i="17" s="1"/>
  <c r="AC15" i="17" s="1"/>
  <c r="AC13" i="17" s="1"/>
  <c r="AC5" i="17" s="1"/>
  <c r="S20" i="17"/>
  <c r="AD19" i="17"/>
  <c r="AD20" i="17" s="1"/>
  <c r="AD15" i="17" s="1"/>
  <c r="AD13" i="17" s="1"/>
  <c r="AD5" i="17" s="1"/>
  <c r="T20" i="17"/>
  <c r="AC20" i="6"/>
  <c r="AB21" i="6"/>
  <c r="AB19" i="6" s="1"/>
  <c r="AB17" i="6" s="1"/>
  <c r="AB7" i="6" s="1"/>
  <c r="AB8" i="6" s="1"/>
  <c r="AF20" i="5"/>
  <c r="AE21" i="5"/>
  <c r="AE18" i="5"/>
  <c r="AD19" i="5"/>
  <c r="AD17" i="5" s="1"/>
  <c r="AE17" i="4"/>
  <c r="AD18" i="4"/>
  <c r="AC19" i="1"/>
  <c r="AD18" i="1"/>
  <c r="O44" i="1"/>
  <c r="N23" i="1"/>
  <c r="N17" i="1" s="1"/>
  <c r="P23" i="6"/>
  <c r="O24" i="6"/>
  <c r="O19" i="6" s="1"/>
  <c r="O17" i="6" s="1"/>
  <c r="O7" i="6" s="1"/>
  <c r="O8" i="6" s="1"/>
  <c r="U25" i="6"/>
  <c r="U26" i="6" s="1"/>
  <c r="K26" i="6"/>
  <c r="D26" i="6" s="1"/>
  <c r="U21" i="14"/>
  <c r="U22" i="14" s="1"/>
  <c r="U19" i="14" s="1"/>
  <c r="U17" i="14" s="1"/>
  <c r="U7" i="14" s="1"/>
  <c r="K32" i="21"/>
  <c r="J26" i="21"/>
  <c r="J24" i="21" s="1"/>
  <c r="S28" i="10"/>
  <c r="R29" i="10"/>
  <c r="J30" i="18"/>
  <c r="AC22" i="4" l="1"/>
  <c r="AC16" i="4" s="1"/>
  <c r="AC14" i="4" s="1"/>
  <c r="AC6" i="4" s="1"/>
  <c r="AC7" i="4" s="1"/>
  <c r="AD21" i="4"/>
  <c r="D7" i="22"/>
  <c r="D19" i="22"/>
  <c r="D17" i="22" s="1"/>
  <c r="D15" i="22" s="1"/>
  <c r="D6" i="22" s="1"/>
  <c r="AC17" i="21"/>
  <c r="AC15" i="21" s="1"/>
  <c r="AC6" i="21" s="1"/>
  <c r="X17" i="21"/>
  <c r="X15" i="21" s="1"/>
  <c r="X6" i="21" s="1"/>
  <c r="D20" i="21"/>
  <c r="Z17" i="21"/>
  <c r="Z15" i="21" s="1"/>
  <c r="Z6" i="21" s="1"/>
  <c r="AA17" i="21"/>
  <c r="AA15" i="21" s="1"/>
  <c r="AA6" i="21" s="1"/>
  <c r="D20" i="17"/>
  <c r="AD20" i="6"/>
  <c r="AC21" i="6"/>
  <c r="AC19" i="6" s="1"/>
  <c r="AC17" i="6" s="1"/>
  <c r="AC7" i="6" s="1"/>
  <c r="AC8" i="6" s="1"/>
  <c r="AG20" i="5"/>
  <c r="AF21" i="5"/>
  <c r="AF18" i="5"/>
  <c r="AE19" i="5"/>
  <c r="AE17" i="5" s="1"/>
  <c r="AF17" i="4"/>
  <c r="AE18" i="4"/>
  <c r="O23" i="1"/>
  <c r="P44" i="1"/>
  <c r="AE18" i="1"/>
  <c r="AD19" i="1"/>
  <c r="K19" i="6"/>
  <c r="Q23" i="6"/>
  <c r="P24" i="6"/>
  <c r="V21" i="14"/>
  <c r="V22" i="14" s="1"/>
  <c r="L32" i="21"/>
  <c r="K26" i="21"/>
  <c r="T28" i="10"/>
  <c r="S29" i="10"/>
  <c r="K30" i="18"/>
  <c r="AE21" i="4" l="1"/>
  <c r="AD22" i="4"/>
  <c r="AD16" i="4" s="1"/>
  <c r="AD14" i="4" s="1"/>
  <c r="AD6" i="4" s="1"/>
  <c r="AD7" i="4" s="1"/>
  <c r="D10" i="22"/>
  <c r="K24" i="21"/>
  <c r="AD21" i="6"/>
  <c r="AD19" i="6" s="1"/>
  <c r="AD17" i="6" s="1"/>
  <c r="AD7" i="6" s="1"/>
  <c r="AD8" i="6" s="1"/>
  <c r="AE20" i="6"/>
  <c r="AH20" i="5"/>
  <c r="AG21" i="5"/>
  <c r="AG18" i="5"/>
  <c r="AF19" i="5"/>
  <c r="AF17" i="5" s="1"/>
  <c r="AF18" i="4"/>
  <c r="AG17" i="4"/>
  <c r="AE19" i="1"/>
  <c r="AF18" i="1"/>
  <c r="P23" i="1"/>
  <c r="P17" i="1" s="1"/>
  <c r="Q44" i="1"/>
  <c r="O17" i="1"/>
  <c r="P19" i="6"/>
  <c r="R23" i="6"/>
  <c r="Q24" i="6"/>
  <c r="Q19" i="6" s="1"/>
  <c r="V19" i="14"/>
  <c r="V17" i="14" s="1"/>
  <c r="V7" i="14" s="1"/>
  <c r="W21" i="14"/>
  <c r="W22" i="14" s="1"/>
  <c r="W19" i="14" s="1"/>
  <c r="W17" i="14" s="1"/>
  <c r="W7" i="14" s="1"/>
  <c r="M32" i="21"/>
  <c r="L26" i="21"/>
  <c r="L24" i="21" s="1"/>
  <c r="L15" i="21" s="1"/>
  <c r="L6" i="21" s="1"/>
  <c r="U28" i="10"/>
  <c r="T29" i="10"/>
  <c r="L30" i="18"/>
  <c r="L24" i="18" s="1"/>
  <c r="L22" i="18" s="1"/>
  <c r="AE22" i="4" l="1"/>
  <c r="AE16" i="4" s="1"/>
  <c r="AE14" i="4" s="1"/>
  <c r="AE6" i="4" s="1"/>
  <c r="AE7" i="4" s="1"/>
  <c r="AF21" i="4"/>
  <c r="AE21" i="6"/>
  <c r="AE19" i="6" s="1"/>
  <c r="AE17" i="6" s="1"/>
  <c r="AE7" i="6" s="1"/>
  <c r="AE8" i="6" s="1"/>
  <c r="AF20" i="6"/>
  <c r="AI20" i="5"/>
  <c r="AI21" i="5" s="1"/>
  <c r="D21" i="5" s="1"/>
  <c r="AH21" i="5"/>
  <c r="AH18" i="5"/>
  <c r="AG19" i="5"/>
  <c r="AG17" i="5" s="1"/>
  <c r="AH17" i="4"/>
  <c r="AG18" i="4"/>
  <c r="Q23" i="1"/>
  <c r="R44" i="1"/>
  <c r="AG18" i="1"/>
  <c r="AF19" i="1"/>
  <c r="Y23" i="6"/>
  <c r="Y24" i="6" s="1"/>
  <c r="Y19" i="6" s="1"/>
  <c r="Y17" i="6" s="1"/>
  <c r="Y7" i="6" s="1"/>
  <c r="Y8" i="6" s="1"/>
  <c r="X23" i="6"/>
  <c r="X24" i="6" s="1"/>
  <c r="X19" i="6" s="1"/>
  <c r="X17" i="6" s="1"/>
  <c r="X7" i="6" s="1"/>
  <c r="X8" i="6" s="1"/>
  <c r="R24" i="6"/>
  <c r="R19" i="6" s="1"/>
  <c r="Z23" i="6"/>
  <c r="Z24" i="6" s="1"/>
  <c r="W23" i="6"/>
  <c r="W24" i="6" s="1"/>
  <c r="W19" i="6" s="1"/>
  <c r="W17" i="6" s="1"/>
  <c r="W7" i="6" s="1"/>
  <c r="W8" i="6" s="1"/>
  <c r="S23" i="6"/>
  <c r="X21" i="14"/>
  <c r="X22" i="14" s="1"/>
  <c r="X19" i="14" s="1"/>
  <c r="X17" i="14" s="1"/>
  <c r="X7" i="14" s="1"/>
  <c r="N32" i="21"/>
  <c r="M26" i="21"/>
  <c r="V28" i="10"/>
  <c r="U29" i="10"/>
  <c r="M30" i="18"/>
  <c r="M24" i="18" s="1"/>
  <c r="M22" i="18" s="1"/>
  <c r="AG21" i="4" l="1"/>
  <c r="AF22" i="4"/>
  <c r="AF16" i="4" s="1"/>
  <c r="AF14" i="4" s="1"/>
  <c r="AF6" i="4" s="1"/>
  <c r="AF7" i="4" s="1"/>
  <c r="M24" i="21"/>
  <c r="M15" i="21" s="1"/>
  <c r="M6" i="21" s="1"/>
  <c r="Z19" i="6"/>
  <c r="Z17" i="6" s="1"/>
  <c r="Z7" i="6" s="1"/>
  <c r="Z8" i="6" s="1"/>
  <c r="AF21" i="6"/>
  <c r="AF19" i="6" s="1"/>
  <c r="AF17" i="6" s="1"/>
  <c r="AF7" i="6" s="1"/>
  <c r="AF8" i="6" s="1"/>
  <c r="AG20" i="6"/>
  <c r="AI18" i="5"/>
  <c r="AI19" i="5" s="1"/>
  <c r="AH19" i="5"/>
  <c r="AH17" i="5" s="1"/>
  <c r="AH18" i="4"/>
  <c r="AI17" i="4"/>
  <c r="AI18" i="4" s="1"/>
  <c r="AG19" i="1"/>
  <c r="AH18" i="1"/>
  <c r="S44" i="1"/>
  <c r="R23" i="1"/>
  <c r="R17" i="1" s="1"/>
  <c r="Q17" i="1"/>
  <c r="T23" i="6"/>
  <c r="S24" i="6"/>
  <c r="Y21" i="14"/>
  <c r="Y22" i="14" s="1"/>
  <c r="Y19" i="14" s="1"/>
  <c r="Y17" i="14" s="1"/>
  <c r="Y7" i="14" s="1"/>
  <c r="O32" i="21"/>
  <c r="N26" i="21"/>
  <c r="N24" i="21" s="1"/>
  <c r="N15" i="21" s="1"/>
  <c r="N6" i="21" s="1"/>
  <c r="V29" i="10"/>
  <c r="V24" i="10" s="1"/>
  <c r="W28" i="10"/>
  <c r="N30" i="18"/>
  <c r="N24" i="18" s="1"/>
  <c r="N22" i="18" s="1"/>
  <c r="AG22" i="4" l="1"/>
  <c r="AG16" i="4" s="1"/>
  <c r="AG14" i="4" s="1"/>
  <c r="AG6" i="4" s="1"/>
  <c r="AG7" i="4" s="1"/>
  <c r="AH21" i="4"/>
  <c r="AG21" i="6"/>
  <c r="AG19" i="6" s="1"/>
  <c r="AG17" i="6" s="1"/>
  <c r="AG7" i="6" s="1"/>
  <c r="AG8" i="6" s="1"/>
  <c r="AH20" i="6"/>
  <c r="AI17" i="5"/>
  <c r="D19" i="5"/>
  <c r="D17" i="5" s="1"/>
  <c r="D18" i="4"/>
  <c r="T44" i="1"/>
  <c r="S23" i="1"/>
  <c r="AI18" i="1"/>
  <c r="AI19" i="1" s="1"/>
  <c r="AH19" i="1"/>
  <c r="S19" i="6"/>
  <c r="T24" i="6"/>
  <c r="T19" i="6" s="1"/>
  <c r="U23" i="6"/>
  <c r="Z21" i="14"/>
  <c r="Z22" i="14" s="1"/>
  <c r="Z19" i="14" s="1"/>
  <c r="Z17" i="14" s="1"/>
  <c r="Z7" i="14" s="1"/>
  <c r="P32" i="21"/>
  <c r="O26" i="21"/>
  <c r="O24" i="21" s="1"/>
  <c r="O15" i="21" s="1"/>
  <c r="O6" i="21" s="1"/>
  <c r="W29" i="10"/>
  <c r="W24" i="10" s="1"/>
  <c r="X28" i="10"/>
  <c r="O30" i="18"/>
  <c r="O24" i="18" s="1"/>
  <c r="O22" i="18" s="1"/>
  <c r="AI21" i="4" l="1"/>
  <c r="AI22" i="4" s="1"/>
  <c r="AH22" i="4"/>
  <c r="AH16" i="4" s="1"/>
  <c r="AH14" i="4" s="1"/>
  <c r="AH6" i="4" s="1"/>
  <c r="AH7" i="4" s="1"/>
  <c r="AH21" i="6"/>
  <c r="AH19" i="6" s="1"/>
  <c r="AH17" i="6" s="1"/>
  <c r="AH7" i="6" s="1"/>
  <c r="AH8" i="6" s="1"/>
  <c r="AI20" i="6"/>
  <c r="AI21" i="6" s="1"/>
  <c r="S17" i="1"/>
  <c r="T23" i="1"/>
  <c r="T17" i="1" s="1"/>
  <c r="U44" i="1"/>
  <c r="V23" i="6"/>
  <c r="V24" i="6" s="1"/>
  <c r="U24" i="6"/>
  <c r="U19" i="6" s="1"/>
  <c r="AA21" i="14"/>
  <c r="AA22" i="14" s="1"/>
  <c r="AA19" i="14" s="1"/>
  <c r="AA17" i="14" s="1"/>
  <c r="AA7" i="14" s="1"/>
  <c r="Q32" i="21"/>
  <c r="P26" i="21"/>
  <c r="P24" i="21" s="1"/>
  <c r="X29" i="10"/>
  <c r="X24" i="10" s="1"/>
  <c r="X13" i="10" s="1"/>
  <c r="X5" i="10" s="1"/>
  <c r="Y28" i="10"/>
  <c r="P30" i="18"/>
  <c r="D22" i="4" l="1"/>
  <c r="D16" i="4" s="1"/>
  <c r="D14" i="4" s="1"/>
  <c r="D6" i="4" s="1"/>
  <c r="AI16" i="4"/>
  <c r="AI14" i="4" s="1"/>
  <c r="AI6" i="4" s="1"/>
  <c r="AI7" i="4" s="1"/>
  <c r="D7" i="4" s="1"/>
  <c r="D24" i="6"/>
  <c r="AI19" i="6"/>
  <c r="AI17" i="6" s="1"/>
  <c r="AI7" i="6" s="1"/>
  <c r="AI8" i="6" s="1"/>
  <c r="D21" i="6"/>
  <c r="U23" i="1"/>
  <c r="V44" i="1"/>
  <c r="V19" i="6"/>
  <c r="V17" i="6" s="1"/>
  <c r="V7" i="6" s="1"/>
  <c r="V8" i="6" s="1"/>
  <c r="D19" i="6"/>
  <c r="AB21" i="14"/>
  <c r="AB22" i="14" s="1"/>
  <c r="AB19" i="14" s="1"/>
  <c r="AB17" i="14" s="1"/>
  <c r="AB7" i="14" s="1"/>
  <c r="R32" i="21"/>
  <c r="Q26" i="21"/>
  <c r="Y29" i="10"/>
  <c r="Y24" i="10" s="1"/>
  <c r="Y13" i="10" s="1"/>
  <c r="Y5" i="10" s="1"/>
  <c r="Z28" i="10"/>
  <c r="Q30" i="18"/>
  <c r="Q16" i="19"/>
  <c r="Q17" i="19" s="1"/>
  <c r="Q15" i="19" s="1"/>
  <c r="Q13" i="19" s="1"/>
  <c r="Q5" i="19" s="1"/>
  <c r="H16" i="19"/>
  <c r="F16" i="19"/>
  <c r="F4" i="18"/>
  <c r="G4" i="18"/>
  <c r="H4" i="18"/>
  <c r="I4" i="18"/>
  <c r="J4" i="18"/>
  <c r="K4" i="18"/>
  <c r="L4" i="18"/>
  <c r="E4" i="18"/>
  <c r="E19" i="18"/>
  <c r="E17" i="18"/>
  <c r="F28" i="18"/>
  <c r="G28" i="18"/>
  <c r="G18" i="18" s="1"/>
  <c r="G16" i="18" s="1"/>
  <c r="G14" i="18" s="1"/>
  <c r="G5" i="18" s="1"/>
  <c r="G6" i="18" s="1"/>
  <c r="H28" i="18"/>
  <c r="I28" i="18"/>
  <c r="J28" i="18"/>
  <c r="K28" i="18"/>
  <c r="L28" i="18"/>
  <c r="L18" i="18" s="1"/>
  <c r="L16" i="18" s="1"/>
  <c r="L14" i="18" s="1"/>
  <c r="L5" i="18" s="1"/>
  <c r="L6" i="18" s="1"/>
  <c r="M28" i="18"/>
  <c r="M18" i="18" s="1"/>
  <c r="M16" i="18" s="1"/>
  <c r="M14" i="18" s="1"/>
  <c r="M5" i="18" s="1"/>
  <c r="M6" i="18" s="1"/>
  <c r="N28" i="18"/>
  <c r="N18" i="18" s="1"/>
  <c r="N16" i="18" s="1"/>
  <c r="N14" i="18" s="1"/>
  <c r="N5" i="18" s="1"/>
  <c r="N6" i="18" s="1"/>
  <c r="O28" i="18"/>
  <c r="O18" i="18" s="1"/>
  <c r="O16" i="18" s="1"/>
  <c r="O14" i="18" s="1"/>
  <c r="O5" i="18" s="1"/>
  <c r="O6" i="18" s="1"/>
  <c r="P28" i="18"/>
  <c r="Q28" i="18"/>
  <c r="R28" i="18"/>
  <c r="S28" i="18"/>
  <c r="T28" i="18"/>
  <c r="U28" i="18"/>
  <c r="E28" i="18"/>
  <c r="Q19" i="18"/>
  <c r="Q20" i="18" s="1"/>
  <c r="Q17" i="18"/>
  <c r="Q23" i="18" s="1"/>
  <c r="Q24" i="18" s="1"/>
  <c r="Q22" i="18" s="1"/>
  <c r="H19" i="18"/>
  <c r="H17" i="18"/>
  <c r="Q21" i="21"/>
  <c r="Q22" i="21" s="1"/>
  <c r="H21" i="21"/>
  <c r="H22" i="21" s="1"/>
  <c r="F21" i="21"/>
  <c r="F22" i="21" s="1"/>
  <c r="Q21" i="17"/>
  <c r="Q22" i="17" s="1"/>
  <c r="Q15" i="17" s="1"/>
  <c r="Q13" i="17" s="1"/>
  <c r="Q5" i="17" s="1"/>
  <c r="H21" i="17"/>
  <c r="F21" i="17"/>
  <c r="U23" i="11"/>
  <c r="T23" i="11"/>
  <c r="S23" i="11"/>
  <c r="R23" i="11"/>
  <c r="Q23" i="11"/>
  <c r="P23" i="11"/>
  <c r="O23" i="11"/>
  <c r="O19" i="11" s="1"/>
  <c r="O17" i="11" s="1"/>
  <c r="O15" i="11" s="1"/>
  <c r="O7" i="11" s="1"/>
  <c r="N23" i="11"/>
  <c r="N19" i="11" s="1"/>
  <c r="N17" i="11" s="1"/>
  <c r="N15" i="11" s="1"/>
  <c r="N7" i="11" s="1"/>
  <c r="M23" i="11"/>
  <c r="M19" i="11" s="1"/>
  <c r="M17" i="11" s="1"/>
  <c r="M15" i="11" s="1"/>
  <c r="M7" i="11" s="1"/>
  <c r="L23" i="11"/>
  <c r="L19" i="11" s="1"/>
  <c r="L17" i="11" s="1"/>
  <c r="L15" i="11" s="1"/>
  <c r="L7" i="11" s="1"/>
  <c r="K23" i="11"/>
  <c r="J23" i="11"/>
  <c r="I23" i="11"/>
  <c r="H23" i="11"/>
  <c r="G23" i="11"/>
  <c r="F23" i="11"/>
  <c r="E23" i="11"/>
  <c r="E22" i="9"/>
  <c r="F22" i="9" s="1"/>
  <c r="G22" i="9" s="1"/>
  <c r="H22" i="9" s="1"/>
  <c r="I22" i="9" s="1"/>
  <c r="J22" i="9" s="1"/>
  <c r="K22" i="9" s="1"/>
  <c r="L22" i="9" s="1"/>
  <c r="M22" i="9" s="1"/>
  <c r="N22" i="9" s="1"/>
  <c r="O22" i="9" s="1"/>
  <c r="P22" i="9" s="1"/>
  <c r="Q22" i="9" s="1"/>
  <c r="R22" i="9" s="1"/>
  <c r="S22" i="9" s="1"/>
  <c r="T22" i="9" s="1"/>
  <c r="U22" i="9" s="1"/>
  <c r="E23" i="9"/>
  <c r="F23" i="9" s="1"/>
  <c r="F33" i="9"/>
  <c r="F19" i="9" s="1"/>
  <c r="G33" i="9"/>
  <c r="G19" i="9" s="1"/>
  <c r="H33" i="9"/>
  <c r="H19" i="9" s="1"/>
  <c r="I33" i="9"/>
  <c r="I19" i="9" s="1"/>
  <c r="J33" i="9"/>
  <c r="J19" i="9" s="1"/>
  <c r="K33" i="9"/>
  <c r="K19" i="9" s="1"/>
  <c r="L33" i="9"/>
  <c r="L19" i="9" s="1"/>
  <c r="M33" i="9"/>
  <c r="M19" i="9" s="1"/>
  <c r="N33" i="9"/>
  <c r="N19" i="9" s="1"/>
  <c r="O33" i="9"/>
  <c r="O19" i="9" s="1"/>
  <c r="P33" i="9"/>
  <c r="P19" i="9" s="1"/>
  <c r="Q33" i="9"/>
  <c r="Q19" i="9" s="1"/>
  <c r="R33" i="9"/>
  <c r="R19" i="9" s="1"/>
  <c r="S33" i="9"/>
  <c r="S19" i="9" s="1"/>
  <c r="T33" i="9"/>
  <c r="T19" i="9" s="1"/>
  <c r="U33" i="9"/>
  <c r="U19" i="9" s="1"/>
  <c r="E33" i="9"/>
  <c r="E42" i="5"/>
  <c r="F27" i="1"/>
  <c r="G27" i="1"/>
  <c r="M27" i="1"/>
  <c r="N27" i="1"/>
  <c r="O27" i="1"/>
  <c r="P27" i="1"/>
  <c r="Q27" i="1"/>
  <c r="E39" i="1"/>
  <c r="H26" i="1"/>
  <c r="H27" i="1" s="1"/>
  <c r="G18" i="11"/>
  <c r="E24" i="13"/>
  <c r="I20" i="13"/>
  <c r="I18" i="13"/>
  <c r="I19" i="13" s="1"/>
  <c r="L20" i="13"/>
  <c r="L18" i="13"/>
  <c r="L19" i="13" s="1"/>
  <c r="I17" i="12"/>
  <c r="J20" i="13" l="1"/>
  <c r="F24" i="13"/>
  <c r="E21" i="13"/>
  <c r="E17" i="13" s="1"/>
  <c r="E15" i="13" s="1"/>
  <c r="P16" i="19"/>
  <c r="P17" i="19" s="1"/>
  <c r="P15" i="19" s="1"/>
  <c r="P13" i="19" s="1"/>
  <c r="P5" i="19" s="1"/>
  <c r="F17" i="19"/>
  <c r="I16" i="19"/>
  <c r="H17" i="19"/>
  <c r="H15" i="19" s="1"/>
  <c r="H13" i="19" s="1"/>
  <c r="H5" i="19" s="1"/>
  <c r="F17" i="21"/>
  <c r="F15" i="21" s="1"/>
  <c r="F6" i="21" s="1"/>
  <c r="H17" i="21"/>
  <c r="H15" i="21" s="1"/>
  <c r="H6" i="21" s="1"/>
  <c r="Q17" i="21"/>
  <c r="P21" i="17"/>
  <c r="P22" i="17" s="1"/>
  <c r="P15" i="17" s="1"/>
  <c r="P13" i="17" s="1"/>
  <c r="P5" i="17" s="1"/>
  <c r="F22" i="17"/>
  <c r="I21" i="17"/>
  <c r="H22" i="17"/>
  <c r="H18" i="11"/>
  <c r="H19" i="11" s="1"/>
  <c r="H17" i="11" s="1"/>
  <c r="H15" i="11" s="1"/>
  <c r="H7" i="11" s="1"/>
  <c r="G19" i="11"/>
  <c r="G17" i="11" s="1"/>
  <c r="G15" i="11" s="1"/>
  <c r="G7" i="11" s="1"/>
  <c r="Q17" i="9"/>
  <c r="N17" i="9"/>
  <c r="L17" i="9"/>
  <c r="K17" i="9"/>
  <c r="O17" i="9"/>
  <c r="J17" i="9"/>
  <c r="M17" i="9"/>
  <c r="U17" i="9"/>
  <c r="I17" i="9"/>
  <c r="T17" i="9"/>
  <c r="H17" i="9"/>
  <c r="S17" i="9"/>
  <c r="G17" i="9"/>
  <c r="R17" i="9"/>
  <c r="F17" i="9"/>
  <c r="W44" i="1"/>
  <c r="V23" i="1"/>
  <c r="V17" i="1" s="1"/>
  <c r="V15" i="1" s="1"/>
  <c r="V6" i="1" s="1"/>
  <c r="V7" i="1" s="1"/>
  <c r="U17" i="1"/>
  <c r="D23" i="1"/>
  <c r="F42" i="5"/>
  <c r="E27" i="5"/>
  <c r="E23" i="5" s="1"/>
  <c r="D8" i="16"/>
  <c r="AC21" i="14"/>
  <c r="AC22" i="14" s="1"/>
  <c r="AC19" i="14" s="1"/>
  <c r="AC17" i="14" s="1"/>
  <c r="AC7" i="14" s="1"/>
  <c r="I18" i="12"/>
  <c r="E18" i="18"/>
  <c r="F19" i="18"/>
  <c r="E20" i="18"/>
  <c r="E16" i="18" s="1"/>
  <c r="R19" i="18"/>
  <c r="R20" i="18" s="1"/>
  <c r="H20" i="18"/>
  <c r="Q18" i="18"/>
  <c r="Q16" i="18" s="1"/>
  <c r="Q14" i="18" s="1"/>
  <c r="Q5" i="18" s="1"/>
  <c r="Q6" i="18" s="1"/>
  <c r="E23" i="18"/>
  <c r="E24" i="18" s="1"/>
  <c r="E22" i="18" s="1"/>
  <c r="H23" i="18"/>
  <c r="H24" i="18" s="1"/>
  <c r="H22" i="18" s="1"/>
  <c r="H18" i="18"/>
  <c r="Q24" i="21"/>
  <c r="Q15" i="21" s="1"/>
  <c r="Q6" i="21" s="1"/>
  <c r="S32" i="21"/>
  <c r="R26" i="21"/>
  <c r="R24" i="21" s="1"/>
  <c r="Z29" i="10"/>
  <c r="Z24" i="10" s="1"/>
  <c r="Z13" i="10" s="1"/>
  <c r="Z5" i="10" s="1"/>
  <c r="AA28" i="10"/>
  <c r="AA29" i="10" s="1"/>
  <c r="D19" i="9"/>
  <c r="D17" i="9" s="1"/>
  <c r="P17" i="9"/>
  <c r="F25" i="10"/>
  <c r="I21" i="21"/>
  <c r="I22" i="21" s="1"/>
  <c r="D4" i="18"/>
  <c r="F25" i="9"/>
  <c r="F26" i="9" s="1"/>
  <c r="F27" i="9" s="1"/>
  <c r="G23" i="9"/>
  <c r="F28" i="5"/>
  <c r="I26" i="1"/>
  <c r="I27" i="1" s="1"/>
  <c r="R26" i="1"/>
  <c r="R27" i="1" s="1"/>
  <c r="D8" i="20"/>
  <c r="F17" i="18"/>
  <c r="F23" i="18" s="1"/>
  <c r="F24" i="18" s="1"/>
  <c r="F22" i="18" s="1"/>
  <c r="R30" i="18"/>
  <c r="P21" i="21"/>
  <c r="P22" i="21" s="1"/>
  <c r="S21" i="17"/>
  <c r="S22" i="17" s="1"/>
  <c r="S15" i="17" s="1"/>
  <c r="S13" i="17" s="1"/>
  <c r="S5" i="17" s="1"/>
  <c r="R21" i="17"/>
  <c r="R22" i="17" s="1"/>
  <c r="R15" i="17" s="1"/>
  <c r="R13" i="17" s="1"/>
  <c r="R5" i="17" s="1"/>
  <c r="R16" i="19"/>
  <c r="R17" i="19" s="1"/>
  <c r="R15" i="19" s="1"/>
  <c r="R13" i="19" s="1"/>
  <c r="R5" i="19" s="1"/>
  <c r="S16" i="19"/>
  <c r="S17" i="19" s="1"/>
  <c r="S15" i="19" s="1"/>
  <c r="S13" i="19" s="1"/>
  <c r="S5" i="19" s="1"/>
  <c r="D7" i="20"/>
  <c r="R17" i="18"/>
  <c r="I19" i="18"/>
  <c r="I20" i="18" s="1"/>
  <c r="I17" i="18"/>
  <c r="I18" i="18" s="1"/>
  <c r="R21" i="21"/>
  <c r="R22" i="21" s="1"/>
  <c r="I18" i="11"/>
  <c r="I19" i="11" s="1"/>
  <c r="I17" i="11" s="1"/>
  <c r="I15" i="11" s="1"/>
  <c r="I7" i="11" s="1"/>
  <c r="R18" i="11"/>
  <c r="R19" i="11" s="1"/>
  <c r="R17" i="11" s="1"/>
  <c r="R15" i="11" s="1"/>
  <c r="R7" i="11" s="1"/>
  <c r="Q18" i="11"/>
  <c r="Q19" i="11" s="1"/>
  <c r="Q17" i="11" s="1"/>
  <c r="Q15" i="11" s="1"/>
  <c r="Q7" i="11" s="1"/>
  <c r="F18" i="11"/>
  <c r="F19" i="11" s="1"/>
  <c r="J18" i="13"/>
  <c r="J17" i="12"/>
  <c r="J18" i="12" s="1"/>
  <c r="J16" i="12" s="1"/>
  <c r="J14" i="12" s="1"/>
  <c r="J6" i="12" s="1"/>
  <c r="K17" i="12"/>
  <c r="L17" i="12"/>
  <c r="L18" i="12" s="1"/>
  <c r="L16" i="12" s="1"/>
  <c r="L14" i="12" s="1"/>
  <c r="L6" i="12" s="1"/>
  <c r="J19" i="13" l="1"/>
  <c r="G24" i="13"/>
  <c r="F21" i="13"/>
  <c r="F17" i="13" s="1"/>
  <c r="F15" i="13" s="1"/>
  <c r="K20" i="13"/>
  <c r="J16" i="19"/>
  <c r="I17" i="19"/>
  <c r="I15" i="19" s="1"/>
  <c r="I13" i="19" s="1"/>
  <c r="I5" i="19" s="1"/>
  <c r="F15" i="19"/>
  <c r="F13" i="19" s="1"/>
  <c r="F5" i="19" s="1"/>
  <c r="E14" i="18"/>
  <c r="E5" i="18" s="1"/>
  <c r="E6" i="18" s="1"/>
  <c r="R23" i="18"/>
  <c r="R24" i="18" s="1"/>
  <c r="R22" i="18" s="1"/>
  <c r="R17" i="21"/>
  <c r="R15" i="21" s="1"/>
  <c r="R6" i="21" s="1"/>
  <c r="P17" i="21"/>
  <c r="P15" i="21" s="1"/>
  <c r="P6" i="21" s="1"/>
  <c r="I17" i="21"/>
  <c r="I15" i="21" s="1"/>
  <c r="I6" i="21" s="1"/>
  <c r="J21" i="17"/>
  <c r="I22" i="17"/>
  <c r="F17" i="11"/>
  <c r="F15" i="11" s="1"/>
  <c r="F7" i="11" s="1"/>
  <c r="X44" i="1"/>
  <c r="W23" i="1"/>
  <c r="W17" i="1" s="1"/>
  <c r="W15" i="1" s="1"/>
  <c r="W6" i="1" s="1"/>
  <c r="W7" i="1" s="1"/>
  <c r="P28" i="5"/>
  <c r="P29" i="5" s="1"/>
  <c r="F29" i="5"/>
  <c r="E7" i="5"/>
  <c r="E15" i="5"/>
  <c r="E5" i="5" s="1"/>
  <c r="E6" i="5" s="1"/>
  <c r="G42" i="5"/>
  <c r="F27" i="5"/>
  <c r="D7" i="16"/>
  <c r="AD21" i="14"/>
  <c r="AD22" i="14" s="1"/>
  <c r="AD19" i="14" s="1"/>
  <c r="AD17" i="14" s="1"/>
  <c r="AD7" i="14" s="1"/>
  <c r="K18" i="12"/>
  <c r="K16" i="12" s="1"/>
  <c r="K14" i="12" s="1"/>
  <c r="K6" i="12" s="1"/>
  <c r="I16" i="12"/>
  <c r="I14" i="12" s="1"/>
  <c r="I6" i="12" s="1"/>
  <c r="H16" i="18"/>
  <c r="H14" i="18" s="1"/>
  <c r="H5" i="18" s="1"/>
  <c r="H6" i="18" s="1"/>
  <c r="I16" i="18"/>
  <c r="I14" i="18" s="1"/>
  <c r="I5" i="18" s="1"/>
  <c r="I6" i="18" s="1"/>
  <c r="I23" i="18"/>
  <c r="I24" i="18" s="1"/>
  <c r="I22" i="18" s="1"/>
  <c r="P19" i="18"/>
  <c r="P20" i="18" s="1"/>
  <c r="F20" i="18"/>
  <c r="F18" i="18"/>
  <c r="P17" i="18"/>
  <c r="R18" i="18"/>
  <c r="R16" i="18" s="1"/>
  <c r="R14" i="18" s="1"/>
  <c r="R5" i="18" s="1"/>
  <c r="R6" i="18" s="1"/>
  <c r="T32" i="21"/>
  <c r="S26" i="21"/>
  <c r="S24" i="21" s="1"/>
  <c r="S21" i="21"/>
  <c r="S22" i="21" s="1"/>
  <c r="F17" i="17"/>
  <c r="F26" i="10"/>
  <c r="AA24" i="10"/>
  <c r="AA13" i="10" s="1"/>
  <c r="AA5" i="10" s="1"/>
  <c r="D29" i="10"/>
  <c r="G25" i="10"/>
  <c r="G26" i="10" s="1"/>
  <c r="G24" i="10" s="1"/>
  <c r="G13" i="10" s="1"/>
  <c r="G5" i="10" s="1"/>
  <c r="U25" i="10"/>
  <c r="U26" i="10" s="1"/>
  <c r="U24" i="10" s="1"/>
  <c r="P18" i="11"/>
  <c r="P19" i="11" s="1"/>
  <c r="P17" i="11" s="1"/>
  <c r="P15" i="11" s="1"/>
  <c r="P7" i="11" s="1"/>
  <c r="J21" i="21"/>
  <c r="J22" i="21" s="1"/>
  <c r="H23" i="9"/>
  <c r="G25" i="9"/>
  <c r="G26" i="9" s="1"/>
  <c r="G27" i="9" s="1"/>
  <c r="F28" i="9"/>
  <c r="G28" i="5"/>
  <c r="J26" i="1"/>
  <c r="J27" i="1" s="1"/>
  <c r="S26" i="1"/>
  <c r="S27" i="1" s="1"/>
  <c r="S30" i="18"/>
  <c r="J17" i="18"/>
  <c r="S17" i="18"/>
  <c r="J19" i="18"/>
  <c r="J20" i="18" s="1"/>
  <c r="S19" i="18"/>
  <c r="S20" i="18" s="1"/>
  <c r="J18" i="11"/>
  <c r="J19" i="11" s="1"/>
  <c r="J17" i="11" s="1"/>
  <c r="J15" i="11" s="1"/>
  <c r="J7" i="11" s="1"/>
  <c r="S18" i="11"/>
  <c r="S19" i="11" s="1"/>
  <c r="S17" i="11" s="1"/>
  <c r="S15" i="11" s="1"/>
  <c r="S7" i="11" s="1"/>
  <c r="K18" i="13"/>
  <c r="M17" i="12"/>
  <c r="M18" i="12" s="1"/>
  <c r="M16" i="12" s="1"/>
  <c r="M14" i="12" s="1"/>
  <c r="M6" i="12" s="1"/>
  <c r="H24" i="13" l="1"/>
  <c r="G21" i="13"/>
  <c r="G17" i="13" s="1"/>
  <c r="G15" i="13" s="1"/>
  <c r="K19" i="13"/>
  <c r="K16" i="19"/>
  <c r="J17" i="19"/>
  <c r="T16" i="19"/>
  <c r="T17" i="19" s="1"/>
  <c r="T15" i="19" s="1"/>
  <c r="T13" i="19" s="1"/>
  <c r="T5" i="19" s="1"/>
  <c r="J17" i="21"/>
  <c r="J15" i="21" s="1"/>
  <c r="J6" i="21" s="1"/>
  <c r="S17" i="21"/>
  <c r="S15" i="21" s="1"/>
  <c r="S6" i="21" s="1"/>
  <c r="K21" i="17"/>
  <c r="J22" i="17"/>
  <c r="T21" i="17"/>
  <c r="T22" i="17" s="1"/>
  <c r="T15" i="17" s="1"/>
  <c r="T13" i="17" s="1"/>
  <c r="T5" i="17" s="1"/>
  <c r="F29" i="9"/>
  <c r="F6" i="9" s="1"/>
  <c r="F23" i="5"/>
  <c r="X23" i="1"/>
  <c r="X17" i="1" s="1"/>
  <c r="X15" i="1" s="1"/>
  <c r="X6" i="1" s="1"/>
  <c r="X7" i="1" s="1"/>
  <c r="Y44" i="1"/>
  <c r="H42" i="5"/>
  <c r="G27" i="5"/>
  <c r="Q28" i="5"/>
  <c r="Q29" i="5" s="1"/>
  <c r="G29" i="5"/>
  <c r="F7" i="5"/>
  <c r="F15" i="5"/>
  <c r="F5" i="5" s="1"/>
  <c r="F6" i="5" s="1"/>
  <c r="AE21" i="14"/>
  <c r="AE22" i="14" s="1"/>
  <c r="AE19" i="14" s="1"/>
  <c r="AE17" i="14" s="1"/>
  <c r="AE7" i="14" s="1"/>
  <c r="J23" i="18"/>
  <c r="J24" i="18" s="1"/>
  <c r="J22" i="18" s="1"/>
  <c r="J18" i="18"/>
  <c r="J16" i="18" s="1"/>
  <c r="J14" i="18" s="1"/>
  <c r="J5" i="18" s="1"/>
  <c r="J6" i="18" s="1"/>
  <c r="P23" i="18"/>
  <c r="P24" i="18" s="1"/>
  <c r="P22" i="18" s="1"/>
  <c r="P18" i="18"/>
  <c r="P16" i="18" s="1"/>
  <c r="P14" i="18" s="1"/>
  <c r="P5" i="18" s="1"/>
  <c r="P6" i="18" s="1"/>
  <c r="S23" i="18"/>
  <c r="S24" i="18" s="1"/>
  <c r="S22" i="18" s="1"/>
  <c r="S18" i="18"/>
  <c r="S16" i="18" s="1"/>
  <c r="S14" i="18" s="1"/>
  <c r="S5" i="18" s="1"/>
  <c r="S6" i="18" s="1"/>
  <c r="F16" i="18"/>
  <c r="F14" i="18" s="1"/>
  <c r="F5" i="18" s="1"/>
  <c r="F6" i="18" s="1"/>
  <c r="U32" i="21"/>
  <c r="U26" i="21" s="1"/>
  <c r="T26" i="21"/>
  <c r="G17" i="17"/>
  <c r="G15" i="17" s="1"/>
  <c r="G13" i="17" s="1"/>
  <c r="G5" i="17" s="1"/>
  <c r="F15" i="17"/>
  <c r="F13" i="17" s="1"/>
  <c r="F5" i="17" s="1"/>
  <c r="F24" i="10"/>
  <c r="F13" i="10" s="1"/>
  <c r="F5" i="10" s="1"/>
  <c r="H25" i="10"/>
  <c r="H26" i="10" s="1"/>
  <c r="H24" i="10" s="1"/>
  <c r="H13" i="10" s="1"/>
  <c r="H5" i="10" s="1"/>
  <c r="T25" i="10"/>
  <c r="T26" i="10" s="1"/>
  <c r="T24" i="10" s="1"/>
  <c r="K21" i="21"/>
  <c r="K22" i="21" s="1"/>
  <c r="T21" i="21"/>
  <c r="T22" i="21" s="1"/>
  <c r="G28" i="9"/>
  <c r="I23" i="9"/>
  <c r="H25" i="9"/>
  <c r="H26" i="9" s="1"/>
  <c r="H27" i="9" s="1"/>
  <c r="H28" i="5"/>
  <c r="K26" i="1"/>
  <c r="K27" i="1" s="1"/>
  <c r="T26" i="1"/>
  <c r="T27" i="1" s="1"/>
  <c r="T30" i="18"/>
  <c r="T19" i="18"/>
  <c r="T20" i="18" s="1"/>
  <c r="K19" i="18"/>
  <c r="K17" i="18"/>
  <c r="T17" i="18"/>
  <c r="K18" i="11"/>
  <c r="K19" i="11" s="1"/>
  <c r="K17" i="11" s="1"/>
  <c r="K15" i="11" s="1"/>
  <c r="K7" i="11" s="1"/>
  <c r="T18" i="11"/>
  <c r="T19" i="11" s="1"/>
  <c r="T17" i="11" s="1"/>
  <c r="T15" i="11" s="1"/>
  <c r="T7" i="11" s="1"/>
  <c r="N17" i="12"/>
  <c r="N18" i="12" s="1"/>
  <c r="D19" i="13" l="1"/>
  <c r="I24" i="13"/>
  <c r="H21" i="13"/>
  <c r="H17" i="13" s="1"/>
  <c r="H15" i="13" s="1"/>
  <c r="J15" i="19"/>
  <c r="J13" i="19" s="1"/>
  <c r="J5" i="19" s="1"/>
  <c r="K17" i="19"/>
  <c r="K15" i="19" s="1"/>
  <c r="K13" i="19" s="1"/>
  <c r="K5" i="19" s="1"/>
  <c r="U16" i="19"/>
  <c r="U17" i="19" s="1"/>
  <c r="U15" i="19" s="1"/>
  <c r="U13" i="19" s="1"/>
  <c r="U5" i="19" s="1"/>
  <c r="K17" i="21"/>
  <c r="K15" i="21" s="1"/>
  <c r="K6" i="21" s="1"/>
  <c r="U24" i="21"/>
  <c r="D26" i="21"/>
  <c r="D24" i="21" s="1"/>
  <c r="T17" i="21"/>
  <c r="U21" i="17"/>
  <c r="U22" i="17" s="1"/>
  <c r="U15" i="17" s="1"/>
  <c r="U13" i="17" s="1"/>
  <c r="U5" i="17" s="1"/>
  <c r="K22" i="17"/>
  <c r="D22" i="17" s="1"/>
  <c r="G29" i="9"/>
  <c r="F21" i="9"/>
  <c r="F15" i="9" s="1"/>
  <c r="F5" i="9" s="1"/>
  <c r="F7" i="9" s="1"/>
  <c r="Y23" i="1"/>
  <c r="Y17" i="1" s="1"/>
  <c r="Y15" i="1" s="1"/>
  <c r="Y6" i="1" s="1"/>
  <c r="Y7" i="1" s="1"/>
  <c r="Z44" i="1"/>
  <c r="R28" i="5"/>
  <c r="R29" i="5" s="1"/>
  <c r="H29" i="5"/>
  <c r="G23" i="5"/>
  <c r="I42" i="5"/>
  <c r="H27" i="5"/>
  <c r="H23" i="5" s="1"/>
  <c r="D8" i="15"/>
  <c r="D6" i="15"/>
  <c r="AF21" i="14"/>
  <c r="AF22" i="14" s="1"/>
  <c r="AF19" i="14" s="1"/>
  <c r="AF17" i="14" s="1"/>
  <c r="AF7" i="14" s="1"/>
  <c r="N16" i="12"/>
  <c r="N14" i="12" s="1"/>
  <c r="N6" i="12" s="1"/>
  <c r="U19" i="18"/>
  <c r="U20" i="18" s="1"/>
  <c r="K20" i="18"/>
  <c r="K23" i="18"/>
  <c r="K24" i="18" s="1"/>
  <c r="K22" i="18" s="1"/>
  <c r="K18" i="18"/>
  <c r="T23" i="18"/>
  <c r="T24" i="18" s="1"/>
  <c r="T22" i="18" s="1"/>
  <c r="T18" i="18"/>
  <c r="T16" i="18" s="1"/>
  <c r="T14" i="18" s="1"/>
  <c r="T5" i="18" s="1"/>
  <c r="T6" i="18" s="1"/>
  <c r="T24" i="21"/>
  <c r="I17" i="17"/>
  <c r="I15" i="17" s="1"/>
  <c r="I13" i="17" s="1"/>
  <c r="I5" i="17" s="1"/>
  <c r="H17" i="17"/>
  <c r="S25" i="10"/>
  <c r="S26" i="10" s="1"/>
  <c r="S24" i="10" s="1"/>
  <c r="I25" i="10"/>
  <c r="U18" i="11"/>
  <c r="U19" i="11" s="1"/>
  <c r="U17" i="11" s="1"/>
  <c r="U15" i="11" s="1"/>
  <c r="U7" i="11" s="1"/>
  <c r="U21" i="21"/>
  <c r="U22" i="21" s="1"/>
  <c r="H28" i="9"/>
  <c r="J23" i="9"/>
  <c r="I25" i="9"/>
  <c r="I26" i="9" s="1"/>
  <c r="I27" i="9" s="1"/>
  <c r="I28" i="5"/>
  <c r="L26" i="1"/>
  <c r="L27" i="1" s="1"/>
  <c r="U26" i="1"/>
  <c r="U27" i="1" s="1"/>
  <c r="D27" i="1" s="1"/>
  <c r="U30" i="18"/>
  <c r="U17" i="18"/>
  <c r="O17" i="12"/>
  <c r="O18" i="12" s="1"/>
  <c r="O16" i="12" s="1"/>
  <c r="O14" i="12" s="1"/>
  <c r="O6" i="12" s="1"/>
  <c r="J24" i="13" l="1"/>
  <c r="I21" i="13"/>
  <c r="I17" i="13" s="1"/>
  <c r="I15" i="13" s="1"/>
  <c r="I7" i="13"/>
  <c r="I5" i="13"/>
  <c r="I6" i="13" s="1"/>
  <c r="D17" i="19"/>
  <c r="D15" i="19" s="1"/>
  <c r="D13" i="19" s="1"/>
  <c r="D5" i="19" s="1"/>
  <c r="D20" i="18"/>
  <c r="T15" i="21"/>
  <c r="T6" i="21" s="1"/>
  <c r="U17" i="21"/>
  <c r="U15" i="21" s="1"/>
  <c r="U6" i="21" s="1"/>
  <c r="D22" i="21"/>
  <c r="D17" i="21" s="1"/>
  <c r="D15" i="21" s="1"/>
  <c r="D6" i="21" s="1"/>
  <c r="D9" i="21" s="1"/>
  <c r="D19" i="11"/>
  <c r="D17" i="11" s="1"/>
  <c r="D15" i="11" s="1"/>
  <c r="D7" i="11" s="1"/>
  <c r="G21" i="9"/>
  <c r="G15" i="9" s="1"/>
  <c r="G5" i="9" s="1"/>
  <c r="G7" i="9" s="1"/>
  <c r="G6" i="9"/>
  <c r="H29" i="9"/>
  <c r="Z23" i="1"/>
  <c r="Z17" i="1" s="1"/>
  <c r="Z15" i="1" s="1"/>
  <c r="Z6" i="1" s="1"/>
  <c r="Z7" i="1" s="1"/>
  <c r="AA44" i="1"/>
  <c r="H15" i="5"/>
  <c r="H5" i="5" s="1"/>
  <c r="H6" i="5" s="1"/>
  <c r="H7" i="5"/>
  <c r="J42" i="5"/>
  <c r="I27" i="5"/>
  <c r="G7" i="5"/>
  <c r="G15" i="5"/>
  <c r="G5" i="5" s="1"/>
  <c r="G6" i="5" s="1"/>
  <c r="S28" i="5"/>
  <c r="S29" i="5" s="1"/>
  <c r="I29" i="5"/>
  <c r="D9" i="15"/>
  <c r="AG21" i="14"/>
  <c r="AG22" i="14" s="1"/>
  <c r="AG19" i="14" s="1"/>
  <c r="AG17" i="14" s="1"/>
  <c r="AG7" i="14" s="1"/>
  <c r="U23" i="18"/>
  <c r="U24" i="18" s="1"/>
  <c r="U18" i="18"/>
  <c r="U16" i="18" s="1"/>
  <c r="K16" i="18"/>
  <c r="K14" i="18" s="1"/>
  <c r="K5" i="18" s="1"/>
  <c r="K6" i="18" s="1"/>
  <c r="D7" i="21"/>
  <c r="D12" i="21" s="1"/>
  <c r="J17" i="17"/>
  <c r="J15" i="17" s="1"/>
  <c r="J13" i="17" s="1"/>
  <c r="J5" i="17" s="1"/>
  <c r="H15" i="17"/>
  <c r="H13" i="17" s="1"/>
  <c r="H5" i="17" s="1"/>
  <c r="I26" i="10"/>
  <c r="R25" i="10"/>
  <c r="R26" i="10" s="1"/>
  <c r="R24" i="10" s="1"/>
  <c r="J25" i="10"/>
  <c r="J26" i="10" s="1"/>
  <c r="J24" i="10" s="1"/>
  <c r="I28" i="9"/>
  <c r="K23" i="9"/>
  <c r="J25" i="9"/>
  <c r="J26" i="9" s="1"/>
  <c r="J27" i="9" s="1"/>
  <c r="J28" i="5"/>
  <c r="D9" i="22"/>
  <c r="P17" i="12"/>
  <c r="P18" i="12" s="1"/>
  <c r="F24" i="7"/>
  <c r="G24" i="7" s="1"/>
  <c r="K24" i="13" l="1"/>
  <c r="J7" i="13"/>
  <c r="J5" i="13"/>
  <c r="J6" i="13" s="1"/>
  <c r="J21" i="13"/>
  <c r="J17" i="13" s="1"/>
  <c r="J15" i="13" s="1"/>
  <c r="D10" i="19"/>
  <c r="D7" i="19"/>
  <c r="D24" i="18"/>
  <c r="D22" i="18" s="1"/>
  <c r="U22" i="18"/>
  <c r="U14" i="18" s="1"/>
  <c r="U5" i="18" s="1"/>
  <c r="U6" i="18" s="1"/>
  <c r="D18" i="18"/>
  <c r="D16" i="18" s="1"/>
  <c r="D14" i="18" s="1"/>
  <c r="D5" i="18" s="1"/>
  <c r="D8" i="18" s="1"/>
  <c r="D9" i="11"/>
  <c r="D12" i="11"/>
  <c r="H21" i="9"/>
  <c r="H15" i="9" s="1"/>
  <c r="H5" i="9" s="1"/>
  <c r="H7" i="9" s="1"/>
  <c r="H6" i="9"/>
  <c r="I29" i="9"/>
  <c r="I6" i="9" s="1"/>
  <c r="AA23" i="1"/>
  <c r="AA17" i="1" s="1"/>
  <c r="AA15" i="1" s="1"/>
  <c r="AA6" i="1" s="1"/>
  <c r="AA7" i="1" s="1"/>
  <c r="AB44" i="1"/>
  <c r="T28" i="5"/>
  <c r="T29" i="5" s="1"/>
  <c r="J29" i="5"/>
  <c r="I23" i="5"/>
  <c r="K42" i="5"/>
  <c r="J27" i="5"/>
  <c r="AH21" i="14"/>
  <c r="AH22" i="14" s="1"/>
  <c r="AH19" i="14" s="1"/>
  <c r="AH17" i="14" s="1"/>
  <c r="AH7" i="14" s="1"/>
  <c r="P16" i="12"/>
  <c r="P14" i="12" s="1"/>
  <c r="P6" i="12" s="1"/>
  <c r="D10" i="21"/>
  <c r="K17" i="17"/>
  <c r="D17" i="17" s="1"/>
  <c r="D15" i="17" s="1"/>
  <c r="D13" i="17" s="1"/>
  <c r="D5" i="17" s="1"/>
  <c r="D7" i="17" s="1"/>
  <c r="I24" i="10"/>
  <c r="I13" i="10" s="1"/>
  <c r="I5" i="10" s="1"/>
  <c r="G20" i="7"/>
  <c r="G18" i="7"/>
  <c r="K25" i="10"/>
  <c r="K26" i="10" s="1"/>
  <c r="K24" i="10" s="1"/>
  <c r="Q25" i="10"/>
  <c r="Q26" i="10" s="1"/>
  <c r="Q24" i="10" s="1"/>
  <c r="J28" i="9"/>
  <c r="L23" i="9"/>
  <c r="K25" i="9"/>
  <c r="K26" i="9" s="1"/>
  <c r="K27" i="9" s="1"/>
  <c r="K28" i="5"/>
  <c r="Q17" i="12"/>
  <c r="Q18" i="12" s="1"/>
  <c r="Q16" i="12" s="1"/>
  <c r="Q14" i="12" s="1"/>
  <c r="Q6" i="12" s="1"/>
  <c r="H24" i="7"/>
  <c r="L24" i="13" l="1"/>
  <c r="K21" i="13"/>
  <c r="K17" i="13" s="1"/>
  <c r="K15" i="13" s="1"/>
  <c r="K7" i="13"/>
  <c r="K5" i="13"/>
  <c r="K6" i="13" s="1"/>
  <c r="D9" i="18"/>
  <c r="D9" i="17"/>
  <c r="J29" i="9"/>
  <c r="I21" i="9"/>
  <c r="I15" i="9" s="1"/>
  <c r="I5" i="9" s="1"/>
  <c r="I7" i="9" s="1"/>
  <c r="AB23" i="1"/>
  <c r="AB17" i="1" s="1"/>
  <c r="AB15" i="1" s="1"/>
  <c r="AB6" i="1" s="1"/>
  <c r="AB7" i="1" s="1"/>
  <c r="AC44" i="1"/>
  <c r="J23" i="5"/>
  <c r="L42" i="5"/>
  <c r="K27" i="5"/>
  <c r="I15" i="5"/>
  <c r="I5" i="5" s="1"/>
  <c r="I6" i="5" s="1"/>
  <c r="I7" i="5"/>
  <c r="U28" i="5"/>
  <c r="U29" i="5" s="1"/>
  <c r="K29" i="5"/>
  <c r="AI21" i="14"/>
  <c r="AI22" i="14" s="1"/>
  <c r="AI19" i="14" s="1"/>
  <c r="AI17" i="14" s="1"/>
  <c r="AI7" i="14" s="1"/>
  <c r="K15" i="17"/>
  <c r="K13" i="17" s="1"/>
  <c r="K5" i="17" s="1"/>
  <c r="G16" i="7"/>
  <c r="G14" i="7" s="1"/>
  <c r="G5" i="7" s="1"/>
  <c r="H18" i="7"/>
  <c r="H16" i="7" s="1"/>
  <c r="H14" i="7" s="1"/>
  <c r="H5" i="7" s="1"/>
  <c r="H20" i="7"/>
  <c r="H6" i="7" s="1"/>
  <c r="G6" i="7"/>
  <c r="F30" i="6"/>
  <c r="F9" i="6" s="1"/>
  <c r="G29" i="1"/>
  <c r="G25" i="1" s="1"/>
  <c r="G15" i="1" s="1"/>
  <c r="G6" i="1" s="1"/>
  <c r="G7" i="1" s="1"/>
  <c r="H29" i="1"/>
  <c r="H25" i="1" s="1"/>
  <c r="H15" i="1" s="1"/>
  <c r="H6" i="1" s="1"/>
  <c r="H7" i="1" s="1"/>
  <c r="K29" i="1"/>
  <c r="K25" i="1" s="1"/>
  <c r="K15" i="1" s="1"/>
  <c r="K6" i="1" s="1"/>
  <c r="K7" i="1" s="1"/>
  <c r="J29" i="1"/>
  <c r="J25" i="1" s="1"/>
  <c r="J15" i="1" s="1"/>
  <c r="J6" i="1" s="1"/>
  <c r="J7" i="1" s="1"/>
  <c r="F29" i="1"/>
  <c r="I29" i="1"/>
  <c r="I25" i="1" s="1"/>
  <c r="I15" i="1" s="1"/>
  <c r="I6" i="1" s="1"/>
  <c r="I7" i="1" s="1"/>
  <c r="L29" i="1"/>
  <c r="L25" i="1" s="1"/>
  <c r="L15" i="1" s="1"/>
  <c r="L6" i="1" s="1"/>
  <c r="L7" i="1" s="1"/>
  <c r="L25" i="10"/>
  <c r="L26" i="10" s="1"/>
  <c r="L24" i="10" s="1"/>
  <c r="P25" i="10"/>
  <c r="P26" i="10" s="1"/>
  <c r="P24" i="10" s="1"/>
  <c r="K28" i="9"/>
  <c r="M23" i="9"/>
  <c r="L25" i="9"/>
  <c r="L26" i="9" s="1"/>
  <c r="L27" i="9" s="1"/>
  <c r="P30" i="6"/>
  <c r="G30" i="6"/>
  <c r="R17" i="12"/>
  <c r="R18" i="12" s="1"/>
  <c r="R16" i="12" s="1"/>
  <c r="R14" i="12" s="1"/>
  <c r="R6" i="12" s="1"/>
  <c r="I24" i="7"/>
  <c r="P28" i="6" l="1"/>
  <c r="P17" i="6" s="1"/>
  <c r="P7" i="6" s="1"/>
  <c r="P8" i="6" s="1"/>
  <c r="P9" i="6"/>
  <c r="G28" i="6"/>
  <c r="G17" i="6" s="1"/>
  <c r="G7" i="6" s="1"/>
  <c r="G8" i="6" s="1"/>
  <c r="G9" i="6"/>
  <c r="M24" i="13"/>
  <c r="L21" i="13"/>
  <c r="L17" i="13" s="1"/>
  <c r="L15" i="13" s="1"/>
  <c r="L5" i="13"/>
  <c r="L6" i="13" s="1"/>
  <c r="L7" i="13"/>
  <c r="J21" i="9"/>
  <c r="J15" i="9" s="1"/>
  <c r="J5" i="9" s="1"/>
  <c r="J7" i="9" s="1"/>
  <c r="J6" i="9"/>
  <c r="K29" i="9"/>
  <c r="K6" i="9" s="1"/>
  <c r="F28" i="6"/>
  <c r="F17" i="6" s="1"/>
  <c r="F7" i="6" s="1"/>
  <c r="F8" i="6" s="1"/>
  <c r="D29" i="5"/>
  <c r="L27" i="5"/>
  <c r="L23" i="5" s="1"/>
  <c r="M42" i="5"/>
  <c r="AD44" i="1"/>
  <c r="AC23" i="1"/>
  <c r="AC17" i="1" s="1"/>
  <c r="AC15" i="1" s="1"/>
  <c r="AC6" i="1" s="1"/>
  <c r="AC7" i="1" s="1"/>
  <c r="L7" i="5"/>
  <c r="L15" i="5"/>
  <c r="L5" i="5" s="1"/>
  <c r="L6" i="5" s="1"/>
  <c r="K23" i="5"/>
  <c r="J7" i="5"/>
  <c r="J15" i="5"/>
  <c r="J5" i="5" s="1"/>
  <c r="J6" i="5" s="1"/>
  <c r="AJ21" i="14"/>
  <c r="AJ22" i="14" s="1"/>
  <c r="AJ19" i="14" s="1"/>
  <c r="AJ17" i="14" s="1"/>
  <c r="AJ7" i="14" s="1"/>
  <c r="I20" i="7"/>
  <c r="I18" i="7"/>
  <c r="I16" i="7" s="1"/>
  <c r="I14" i="7" s="1"/>
  <c r="I5" i="7" s="1"/>
  <c r="F25" i="1"/>
  <c r="M29" i="1"/>
  <c r="M25" i="1" s="1"/>
  <c r="M15" i="1" s="1"/>
  <c r="M6" i="1" s="1"/>
  <c r="M7" i="1" s="1"/>
  <c r="P29" i="1"/>
  <c r="P25" i="1" s="1"/>
  <c r="P15" i="1" s="1"/>
  <c r="P6" i="1" s="1"/>
  <c r="P7" i="1" s="1"/>
  <c r="R29" i="1"/>
  <c r="R25" i="1" s="1"/>
  <c r="R15" i="1" s="1"/>
  <c r="R6" i="1" s="1"/>
  <c r="R7" i="1" s="1"/>
  <c r="Q29" i="1"/>
  <c r="Q25" i="1" s="1"/>
  <c r="Q15" i="1" s="1"/>
  <c r="Q6" i="1" s="1"/>
  <c r="Q7" i="1" s="1"/>
  <c r="S29" i="1"/>
  <c r="S25" i="1" s="1"/>
  <c r="S15" i="1" s="1"/>
  <c r="S6" i="1" s="1"/>
  <c r="S7" i="1" s="1"/>
  <c r="U29" i="1"/>
  <c r="U25" i="1" s="1"/>
  <c r="U15" i="1" s="1"/>
  <c r="U6" i="1" s="1"/>
  <c r="U7" i="1" s="1"/>
  <c r="T29" i="1"/>
  <c r="T25" i="1" s="1"/>
  <c r="T15" i="1" s="1"/>
  <c r="T6" i="1" s="1"/>
  <c r="T7" i="1" s="1"/>
  <c r="M25" i="10"/>
  <c r="M26" i="10" s="1"/>
  <c r="M24" i="10" s="1"/>
  <c r="L28" i="9"/>
  <c r="N23" i="9"/>
  <c r="M25" i="9"/>
  <c r="M26" i="9" s="1"/>
  <c r="M27" i="9" s="1"/>
  <c r="Q30" i="6"/>
  <c r="H30" i="6"/>
  <c r="S17" i="12"/>
  <c r="S18" i="12" s="1"/>
  <c r="S16" i="12" s="1"/>
  <c r="S14" i="12" s="1"/>
  <c r="S6" i="12" s="1"/>
  <c r="J24" i="7"/>
  <c r="D9" i="4"/>
  <c r="D10" i="4"/>
  <c r="Q28" i="6" l="1"/>
  <c r="Q17" i="6" s="1"/>
  <c r="Q7" i="6" s="1"/>
  <c r="Q8" i="6" s="1"/>
  <c r="Q9" i="6"/>
  <c r="H28" i="6"/>
  <c r="H17" i="6" s="1"/>
  <c r="H7" i="6" s="1"/>
  <c r="H8" i="6" s="1"/>
  <c r="H9" i="6"/>
  <c r="M21" i="13"/>
  <c r="M17" i="13" s="1"/>
  <c r="M15" i="13" s="1"/>
  <c r="N24" i="13"/>
  <c r="M5" i="13"/>
  <c r="M6" i="13" s="1"/>
  <c r="M7" i="13"/>
  <c r="K21" i="9"/>
  <c r="K15" i="9" s="1"/>
  <c r="K5" i="9" s="1"/>
  <c r="K7" i="9" s="1"/>
  <c r="L29" i="9"/>
  <c r="N42" i="5"/>
  <c r="M27" i="5"/>
  <c r="M23" i="5" s="1"/>
  <c r="AD23" i="1"/>
  <c r="AD17" i="1" s="1"/>
  <c r="AD15" i="1" s="1"/>
  <c r="AD6" i="1" s="1"/>
  <c r="AD7" i="1" s="1"/>
  <c r="AE44" i="1"/>
  <c r="K15" i="5"/>
  <c r="K5" i="5" s="1"/>
  <c r="K7" i="5"/>
  <c r="AK21" i="14"/>
  <c r="AK22" i="14" s="1"/>
  <c r="AK19" i="14" s="1"/>
  <c r="AK17" i="14" s="1"/>
  <c r="AK7" i="14" s="1"/>
  <c r="J18" i="7"/>
  <c r="J20" i="7"/>
  <c r="J6" i="7" s="1"/>
  <c r="I6" i="7"/>
  <c r="F15" i="1"/>
  <c r="F6" i="1" s="1"/>
  <c r="F7" i="1" s="1"/>
  <c r="N29" i="1"/>
  <c r="N25" i="1" s="1"/>
  <c r="N15" i="1" s="1"/>
  <c r="N6" i="1" s="1"/>
  <c r="N7" i="1" s="1"/>
  <c r="N25" i="10"/>
  <c r="N26" i="10" s="1"/>
  <c r="N24" i="10" s="1"/>
  <c r="O23" i="9"/>
  <c r="N25" i="9"/>
  <c r="N26" i="9" s="1"/>
  <c r="N27" i="9" s="1"/>
  <c r="M28" i="9"/>
  <c r="I30" i="6"/>
  <c r="R30" i="6"/>
  <c r="D28" i="1"/>
  <c r="T17" i="12"/>
  <c r="T18" i="12" s="1"/>
  <c r="T16" i="12" s="1"/>
  <c r="T14" i="12" s="1"/>
  <c r="T6" i="12" s="1"/>
  <c r="K24" i="7"/>
  <c r="R28" i="6" l="1"/>
  <c r="R17" i="6" s="1"/>
  <c r="R7" i="6" s="1"/>
  <c r="R8" i="6" s="1"/>
  <c r="R9" i="6"/>
  <c r="I28" i="6"/>
  <c r="I17" i="6" s="1"/>
  <c r="I7" i="6" s="1"/>
  <c r="I8" i="6" s="1"/>
  <c r="I9" i="6"/>
  <c r="N21" i="13"/>
  <c r="N17" i="13" s="1"/>
  <c r="N15" i="13" s="1"/>
  <c r="N5" i="13"/>
  <c r="N6" i="13" s="1"/>
  <c r="O24" i="13"/>
  <c r="N7" i="13"/>
  <c r="L21" i="9"/>
  <c r="L15" i="9" s="1"/>
  <c r="L5" i="9" s="1"/>
  <c r="L7" i="9" s="1"/>
  <c r="L6" i="9"/>
  <c r="M29" i="9"/>
  <c r="M7" i="5"/>
  <c r="M15" i="5"/>
  <c r="M5" i="5" s="1"/>
  <c r="M6" i="5" s="1"/>
  <c r="O42" i="5"/>
  <c r="N27" i="5"/>
  <c r="N23" i="5" s="1"/>
  <c r="K6" i="5"/>
  <c r="AE23" i="1"/>
  <c r="AE17" i="1" s="1"/>
  <c r="AE15" i="1" s="1"/>
  <c r="AE6" i="1" s="1"/>
  <c r="AE7" i="1" s="1"/>
  <c r="AF44" i="1"/>
  <c r="AL21" i="14"/>
  <c r="AL22" i="14" s="1"/>
  <c r="AL19" i="14" s="1"/>
  <c r="AL17" i="14" s="1"/>
  <c r="AL7" i="14" s="1"/>
  <c r="K18" i="7"/>
  <c r="K16" i="7" s="1"/>
  <c r="K14" i="7" s="1"/>
  <c r="K5" i="7" s="1"/>
  <c r="K20" i="7"/>
  <c r="J16" i="7"/>
  <c r="J14" i="7" s="1"/>
  <c r="J5" i="7" s="1"/>
  <c r="O29" i="1"/>
  <c r="O25" i="1" s="1"/>
  <c r="O15" i="1" s="1"/>
  <c r="O6" i="1" s="1"/>
  <c r="O7" i="1" s="1"/>
  <c r="O25" i="10"/>
  <c r="O26" i="10" s="1"/>
  <c r="N28" i="9"/>
  <c r="P23" i="9"/>
  <c r="O25" i="9"/>
  <c r="O26" i="9" s="1"/>
  <c r="O27" i="9" s="1"/>
  <c r="J30" i="6"/>
  <c r="S30" i="6"/>
  <c r="U17" i="12"/>
  <c r="U18" i="12" s="1"/>
  <c r="U16" i="12" s="1"/>
  <c r="U14" i="12" s="1"/>
  <c r="U6" i="12" s="1"/>
  <c r="L24" i="7"/>
  <c r="S28" i="6" l="1"/>
  <c r="S17" i="6" s="1"/>
  <c r="S7" i="6" s="1"/>
  <c r="S8" i="6" s="1"/>
  <c r="S9" i="6"/>
  <c r="J28" i="6"/>
  <c r="J17" i="6" s="1"/>
  <c r="J7" i="6" s="1"/>
  <c r="J8" i="6" s="1"/>
  <c r="J9" i="6"/>
  <c r="O21" i="13"/>
  <c r="O17" i="13" s="1"/>
  <c r="O15" i="13" s="1"/>
  <c r="O7" i="13"/>
  <c r="O5" i="13"/>
  <c r="O6" i="13" s="1"/>
  <c r="P24" i="13"/>
  <c r="M21" i="9"/>
  <c r="M15" i="9" s="1"/>
  <c r="M5" i="9" s="1"/>
  <c r="M7" i="9" s="1"/>
  <c r="M6" i="9"/>
  <c r="N29" i="9"/>
  <c r="O27" i="5"/>
  <c r="O23" i="5" s="1"/>
  <c r="P42" i="5"/>
  <c r="N7" i="5"/>
  <c r="N15" i="5"/>
  <c r="N5" i="5" s="1"/>
  <c r="N6" i="5" s="1"/>
  <c r="D25" i="1"/>
  <c r="AF23" i="1"/>
  <c r="AF17" i="1" s="1"/>
  <c r="AF15" i="1" s="1"/>
  <c r="AF6" i="1" s="1"/>
  <c r="AF7" i="1" s="1"/>
  <c r="AG44" i="1"/>
  <c r="AM21" i="14"/>
  <c r="AM22" i="14" s="1"/>
  <c r="AM19" i="14" s="1"/>
  <c r="AM17" i="14" s="1"/>
  <c r="AM7" i="14" s="1"/>
  <c r="O24" i="10"/>
  <c r="D26" i="10"/>
  <c r="D24" i="10" s="1"/>
  <c r="K6" i="7"/>
  <c r="L20" i="7"/>
  <c r="L6" i="7" s="1"/>
  <c r="L18" i="7"/>
  <c r="D29" i="1"/>
  <c r="O28" i="9"/>
  <c r="Q23" i="9"/>
  <c r="P25" i="9"/>
  <c r="P26" i="9" s="1"/>
  <c r="P27" i="9" s="1"/>
  <c r="K30" i="6"/>
  <c r="T30" i="6"/>
  <c r="V17" i="12"/>
  <c r="V18" i="12" s="1"/>
  <c r="V16" i="12" s="1"/>
  <c r="V14" i="12" s="1"/>
  <c r="V6" i="12" s="1"/>
  <c r="M24" i="7"/>
  <c r="T28" i="6" l="1"/>
  <c r="T17" i="6" s="1"/>
  <c r="T7" i="6" s="1"/>
  <c r="T8" i="6" s="1"/>
  <c r="T9" i="6"/>
  <c r="K28" i="6"/>
  <c r="K17" i="6" s="1"/>
  <c r="K7" i="6" s="1"/>
  <c r="K8" i="6" s="1"/>
  <c r="K9" i="6"/>
  <c r="P21" i="13"/>
  <c r="P17" i="13" s="1"/>
  <c r="P15" i="13" s="1"/>
  <c r="P5" i="13"/>
  <c r="P6" i="13" s="1"/>
  <c r="Q24" i="13"/>
  <c r="P7" i="13"/>
  <c r="N21" i="9"/>
  <c r="N15" i="9" s="1"/>
  <c r="N5" i="9" s="1"/>
  <c r="N7" i="9" s="1"/>
  <c r="N6" i="9"/>
  <c r="O29" i="9"/>
  <c r="P27" i="5"/>
  <c r="P23" i="5" s="1"/>
  <c r="Q42" i="5"/>
  <c r="O7" i="5"/>
  <c r="O15" i="5"/>
  <c r="O5" i="5" s="1"/>
  <c r="O6" i="5" s="1"/>
  <c r="AH44" i="1"/>
  <c r="AG23" i="1"/>
  <c r="AG17" i="1" s="1"/>
  <c r="AG15" i="1" s="1"/>
  <c r="AG6" i="1" s="1"/>
  <c r="AG7" i="1" s="1"/>
  <c r="AN21" i="14"/>
  <c r="AN22" i="14" s="1"/>
  <c r="AN19" i="14" s="1"/>
  <c r="AN17" i="14" s="1"/>
  <c r="AN7" i="14" s="1"/>
  <c r="M20" i="7"/>
  <c r="M6" i="7" s="1"/>
  <c r="M18" i="7"/>
  <c r="M16" i="7" s="1"/>
  <c r="M14" i="7" s="1"/>
  <c r="M5" i="7" s="1"/>
  <c r="L16" i="7"/>
  <c r="L14" i="7" s="1"/>
  <c r="L5" i="7" s="1"/>
  <c r="N24" i="7"/>
  <c r="P28" i="9"/>
  <c r="R23" i="9"/>
  <c r="Q25" i="9"/>
  <c r="Q26" i="9" s="1"/>
  <c r="Q27" i="9" s="1"/>
  <c r="W17" i="12"/>
  <c r="W18" i="12" s="1"/>
  <c r="W16" i="12" s="1"/>
  <c r="W14" i="12" s="1"/>
  <c r="W6" i="12" s="1"/>
  <c r="Q21" i="13" l="1"/>
  <c r="Q17" i="13" s="1"/>
  <c r="Q15" i="13" s="1"/>
  <c r="Q5" i="13"/>
  <c r="Q6" i="13" s="1"/>
  <c r="R24" i="13"/>
  <c r="Q7" i="13"/>
  <c r="O21" i="9"/>
  <c r="O15" i="9" s="1"/>
  <c r="O5" i="9" s="1"/>
  <c r="O7" i="9" s="1"/>
  <c r="O6" i="9"/>
  <c r="P29" i="9"/>
  <c r="R42" i="5"/>
  <c r="Q27" i="5"/>
  <c r="Q23" i="5" s="1"/>
  <c r="P7" i="5"/>
  <c r="P15" i="5"/>
  <c r="P5" i="5" s="1"/>
  <c r="P6" i="5" s="1"/>
  <c r="AH23" i="1"/>
  <c r="AH17" i="1" s="1"/>
  <c r="AH15" i="1" s="1"/>
  <c r="AH6" i="1" s="1"/>
  <c r="AH7" i="1" s="1"/>
  <c r="AI44" i="1"/>
  <c r="AI23" i="1" s="1"/>
  <c r="AI17" i="1" s="1"/>
  <c r="AO21" i="14"/>
  <c r="AO22" i="14" s="1"/>
  <c r="AO19" i="14" s="1"/>
  <c r="AO17" i="14" s="1"/>
  <c r="AO7" i="14" s="1"/>
  <c r="Q28" i="9"/>
  <c r="N18" i="7"/>
  <c r="N20" i="7"/>
  <c r="O24" i="7"/>
  <c r="U30" i="6"/>
  <c r="U9" i="6" s="1"/>
  <c r="D29" i="6"/>
  <c r="L30" i="6"/>
  <c r="Y17" i="12"/>
  <c r="X17" i="12"/>
  <c r="Z17" i="12"/>
  <c r="S23" i="9"/>
  <c r="R25" i="9"/>
  <c r="R26" i="9" s="1"/>
  <c r="R27" i="9" s="1"/>
  <c r="L28" i="6" l="1"/>
  <c r="L17" i="6" s="1"/>
  <c r="L7" i="6" s="1"/>
  <c r="L8" i="6" s="1"/>
  <c r="L9" i="6"/>
  <c r="D9" i="6" s="1"/>
  <c r="D14" i="6" s="1"/>
  <c r="R21" i="13"/>
  <c r="R17" i="13" s="1"/>
  <c r="R15" i="13" s="1"/>
  <c r="S24" i="13"/>
  <c r="R5" i="13"/>
  <c r="R7" i="13"/>
  <c r="P21" i="9"/>
  <c r="P15" i="9" s="1"/>
  <c r="P5" i="9" s="1"/>
  <c r="P7" i="9" s="1"/>
  <c r="P6" i="9"/>
  <c r="Q29" i="9"/>
  <c r="U28" i="6"/>
  <c r="U17" i="6" s="1"/>
  <c r="U7" i="6" s="1"/>
  <c r="D30" i="6"/>
  <c r="D28" i="6" s="1"/>
  <c r="D17" i="6" s="1"/>
  <c r="Q15" i="5"/>
  <c r="Q5" i="5" s="1"/>
  <c r="Q6" i="5" s="1"/>
  <c r="Q7" i="5"/>
  <c r="S42" i="5"/>
  <c r="R27" i="5"/>
  <c r="R23" i="5" s="1"/>
  <c r="AI15" i="1"/>
  <c r="AI6" i="1" s="1"/>
  <c r="AI7" i="1" s="1"/>
  <c r="D7" i="1" s="1"/>
  <c r="D12" i="1" s="1"/>
  <c r="D17" i="1"/>
  <c r="D15" i="1" s="1"/>
  <c r="D6" i="1" s="1"/>
  <c r="AP21" i="14"/>
  <c r="AP22" i="14" s="1"/>
  <c r="AP19" i="14" s="1"/>
  <c r="AP17" i="14" s="1"/>
  <c r="AP7" i="14" s="1"/>
  <c r="Z18" i="12"/>
  <c r="X18" i="12"/>
  <c r="X16" i="12" s="1"/>
  <c r="X14" i="12" s="1"/>
  <c r="X6" i="12" s="1"/>
  <c r="Y18" i="12"/>
  <c r="Y16" i="12" s="1"/>
  <c r="Y14" i="12" s="1"/>
  <c r="Y6" i="12" s="1"/>
  <c r="O18" i="7"/>
  <c r="O16" i="7" s="1"/>
  <c r="O14" i="7" s="1"/>
  <c r="O5" i="7" s="1"/>
  <c r="O20" i="7"/>
  <c r="O6" i="7" s="1"/>
  <c r="N6" i="7"/>
  <c r="N16" i="7"/>
  <c r="N14" i="7" s="1"/>
  <c r="N5" i="7" s="1"/>
  <c r="P24" i="7"/>
  <c r="R28" i="9"/>
  <c r="T23" i="9"/>
  <c r="S25" i="9"/>
  <c r="S26" i="9" s="1"/>
  <c r="S27" i="9" s="1"/>
  <c r="D9" i="8"/>
  <c r="D10" i="8" s="1"/>
  <c r="D8" i="8"/>
  <c r="D7" i="6" l="1"/>
  <c r="D12" i="6" s="1"/>
  <c r="R6" i="13"/>
  <c r="S21" i="13"/>
  <c r="S17" i="13" s="1"/>
  <c r="S15" i="13" s="1"/>
  <c r="S5" i="13"/>
  <c r="S6" i="13" s="1"/>
  <c r="T24" i="13"/>
  <c r="S7" i="13"/>
  <c r="Q21" i="9"/>
  <c r="Q15" i="9" s="1"/>
  <c r="Q5" i="9" s="1"/>
  <c r="Q7" i="9" s="1"/>
  <c r="Q6" i="9"/>
  <c r="R29" i="9"/>
  <c r="U8" i="6"/>
  <c r="D8" i="6" s="1"/>
  <c r="D13" i="6" s="1"/>
  <c r="R7" i="5"/>
  <c r="R15" i="5"/>
  <c r="R5" i="5" s="1"/>
  <c r="R6" i="5" s="1"/>
  <c r="T42" i="5"/>
  <c r="S27" i="5"/>
  <c r="S23" i="5" s="1"/>
  <c r="D9" i="1"/>
  <c r="D10" i="1"/>
  <c r="D11" i="1" s="1"/>
  <c r="D11" i="6"/>
  <c r="AQ21" i="14"/>
  <c r="AQ22" i="14" s="1"/>
  <c r="AQ19" i="14" s="1"/>
  <c r="AQ17" i="14" s="1"/>
  <c r="AQ7" i="14" s="1"/>
  <c r="Z16" i="12"/>
  <c r="Z14" i="12" s="1"/>
  <c r="Z6" i="12" s="1"/>
  <c r="D18" i="12"/>
  <c r="D16" i="12" s="1"/>
  <c r="D14" i="12" s="1"/>
  <c r="D6" i="12" s="1"/>
  <c r="D8" i="12" s="1"/>
  <c r="P20" i="7"/>
  <c r="P6" i="7" s="1"/>
  <c r="P18" i="7"/>
  <c r="P16" i="7" s="1"/>
  <c r="P14" i="7" s="1"/>
  <c r="P5" i="7" s="1"/>
  <c r="Q24" i="7"/>
  <c r="S28" i="9"/>
  <c r="U23" i="9"/>
  <c r="T25" i="9"/>
  <c r="T26" i="9" s="1"/>
  <c r="T27" i="9" s="1"/>
  <c r="T21" i="13" l="1"/>
  <c r="U24" i="13"/>
  <c r="T5" i="13"/>
  <c r="T6" i="13" s="1"/>
  <c r="T7" i="13"/>
  <c r="R21" i="9"/>
  <c r="R15" i="9" s="1"/>
  <c r="R5" i="9" s="1"/>
  <c r="R7" i="9" s="1"/>
  <c r="R6" i="9"/>
  <c r="S29" i="9"/>
  <c r="S15" i="5"/>
  <c r="S5" i="5" s="1"/>
  <c r="S6" i="5" s="1"/>
  <c r="S7" i="5"/>
  <c r="T27" i="5"/>
  <c r="T23" i="5" s="1"/>
  <c r="U42" i="5"/>
  <c r="AR21" i="14"/>
  <c r="AR22" i="14" s="1"/>
  <c r="Q20" i="7"/>
  <c r="Q6" i="7" s="1"/>
  <c r="Q18" i="7"/>
  <c r="Q16" i="7" s="1"/>
  <c r="Q14" i="7" s="1"/>
  <c r="Q5" i="7" s="1"/>
  <c r="R24" i="7"/>
  <c r="T28" i="9"/>
  <c r="U25" i="9"/>
  <c r="U26" i="9" s="1"/>
  <c r="U27" i="9" s="1"/>
  <c r="T17" i="13" l="1"/>
  <c r="T15" i="13" s="1"/>
  <c r="U7" i="13"/>
  <c r="D7" i="13" s="1"/>
  <c r="U21" i="13"/>
  <c r="U17" i="13" s="1"/>
  <c r="U15" i="13" s="1"/>
  <c r="U5" i="13"/>
  <c r="U6" i="13" s="1"/>
  <c r="D6" i="13" s="1"/>
  <c r="S21" i="9"/>
  <c r="S15" i="9" s="1"/>
  <c r="S5" i="9" s="1"/>
  <c r="S7" i="9" s="1"/>
  <c r="S6" i="9"/>
  <c r="T29" i="9"/>
  <c r="D27" i="9"/>
  <c r="T15" i="5"/>
  <c r="T5" i="5" s="1"/>
  <c r="T6" i="5" s="1"/>
  <c r="T7" i="5"/>
  <c r="U27" i="5"/>
  <c r="U23" i="5" s="1"/>
  <c r="V42" i="5"/>
  <c r="AR19" i="14"/>
  <c r="AR17" i="14" s="1"/>
  <c r="AR7" i="14" s="1"/>
  <c r="D8" i="14" s="1"/>
  <c r="D22" i="14"/>
  <c r="D19" i="14" s="1"/>
  <c r="R20" i="7"/>
  <c r="R6" i="7" s="1"/>
  <c r="R18" i="7"/>
  <c r="R16" i="7" s="1"/>
  <c r="R14" i="7" s="1"/>
  <c r="R5" i="7" s="1"/>
  <c r="S24" i="7"/>
  <c r="U28" i="9"/>
  <c r="U29" i="9" s="1"/>
  <c r="D29" i="9" s="1"/>
  <c r="D6" i="8"/>
  <c r="D11" i="8" s="1"/>
  <c r="D5" i="13" l="1"/>
  <c r="D10" i="13"/>
  <c r="D9" i="13"/>
  <c r="D21" i="13"/>
  <c r="D17" i="13" s="1"/>
  <c r="D15" i="13" s="1"/>
  <c r="T21" i="9"/>
  <c r="T15" i="9" s="1"/>
  <c r="T5" i="9" s="1"/>
  <c r="T7" i="9" s="1"/>
  <c r="T6" i="9"/>
  <c r="U6" i="9"/>
  <c r="D6" i="9" s="1"/>
  <c r="D11" i="9" s="1"/>
  <c r="D21" i="9"/>
  <c r="D15" i="9" s="1"/>
  <c r="U21" i="9"/>
  <c r="U15" i="9" s="1"/>
  <c r="U5" i="9" s="1"/>
  <c r="U7" i="9" s="1"/>
  <c r="D7" i="9" s="1"/>
  <c r="V27" i="5"/>
  <c r="V23" i="5" s="1"/>
  <c r="W42" i="5"/>
  <c r="U15" i="5"/>
  <c r="U5" i="5" s="1"/>
  <c r="U6" i="5" s="1"/>
  <c r="U7" i="5"/>
  <c r="D17" i="14"/>
  <c r="D7" i="14" s="1"/>
  <c r="D11" i="14" s="1"/>
  <c r="D12" i="14"/>
  <c r="S18" i="7"/>
  <c r="S16" i="7" s="1"/>
  <c r="S14" i="7" s="1"/>
  <c r="S5" i="7" s="1"/>
  <c r="S20" i="7"/>
  <c r="S6" i="7" s="1"/>
  <c r="T24" i="7"/>
  <c r="D5" i="9" l="1"/>
  <c r="D9" i="9" s="1"/>
  <c r="X42" i="5"/>
  <c r="W27" i="5"/>
  <c r="W23" i="5" s="1"/>
  <c r="V7" i="5"/>
  <c r="V15" i="5"/>
  <c r="V5" i="5" s="1"/>
  <c r="V6" i="5" s="1"/>
  <c r="D10" i="9"/>
  <c r="T18" i="7"/>
  <c r="T16" i="7" s="1"/>
  <c r="T14" i="7" s="1"/>
  <c r="T5" i="7" s="1"/>
  <c r="T20" i="7"/>
  <c r="T6" i="7" s="1"/>
  <c r="U24" i="7"/>
  <c r="J19" i="10"/>
  <c r="J20" i="10" s="1"/>
  <c r="J15" i="10" l="1"/>
  <c r="J13" i="10" s="1"/>
  <c r="J5" i="10" s="1"/>
  <c r="W7" i="5"/>
  <c r="W15" i="5"/>
  <c r="W5" i="5" s="1"/>
  <c r="W6" i="5" s="1"/>
  <c r="X27" i="5"/>
  <c r="X23" i="5" s="1"/>
  <c r="Y42" i="5"/>
  <c r="U20" i="7"/>
  <c r="U6" i="7" s="1"/>
  <c r="U18" i="7"/>
  <c r="U16" i="7" s="1"/>
  <c r="U14" i="7" s="1"/>
  <c r="U5" i="7" s="1"/>
  <c r="V24" i="7"/>
  <c r="K19" i="10"/>
  <c r="K20" i="10" s="1"/>
  <c r="K15" i="10" s="1"/>
  <c r="K13" i="10" s="1"/>
  <c r="K5" i="10" s="1"/>
  <c r="Z42" i="5" l="1"/>
  <c r="Y27" i="5"/>
  <c r="Y23" i="5" s="1"/>
  <c r="X7" i="5"/>
  <c r="X15" i="5"/>
  <c r="X5" i="5" s="1"/>
  <c r="X6" i="5" s="1"/>
  <c r="V18" i="7"/>
  <c r="V16" i="7" s="1"/>
  <c r="V14" i="7" s="1"/>
  <c r="V5" i="7" s="1"/>
  <c r="V20" i="7"/>
  <c r="V6" i="7" s="1"/>
  <c r="W24" i="7"/>
  <c r="L19" i="10"/>
  <c r="L20" i="10" s="1"/>
  <c r="L15" i="10" s="1"/>
  <c r="L13" i="10" s="1"/>
  <c r="L5" i="10" s="1"/>
  <c r="Y7" i="5" l="1"/>
  <c r="Y15" i="5"/>
  <c r="Y5" i="5" s="1"/>
  <c r="Y6" i="5" s="1"/>
  <c r="AA42" i="5"/>
  <c r="Z27" i="5"/>
  <c r="Z23" i="5" s="1"/>
  <c r="W18" i="7"/>
  <c r="W20" i="7"/>
  <c r="M19" i="10"/>
  <c r="M20" i="10" s="1"/>
  <c r="M15" i="10" s="1"/>
  <c r="M13" i="10" s="1"/>
  <c r="M5" i="10" s="1"/>
  <c r="Z15" i="5" l="1"/>
  <c r="Z5" i="5" s="1"/>
  <c r="Z6" i="5" s="1"/>
  <c r="Z7" i="5"/>
  <c r="AA27" i="5"/>
  <c r="AA23" i="5" s="1"/>
  <c r="AB42" i="5"/>
  <c r="W6" i="7"/>
  <c r="D20" i="7"/>
  <c r="D6" i="7" s="1"/>
  <c r="D10" i="7" s="1"/>
  <c r="W16" i="7"/>
  <c r="W14" i="7" s="1"/>
  <c r="W5" i="7" s="1"/>
  <c r="D18" i="7"/>
  <c r="D16" i="7" s="1"/>
  <c r="D14" i="7" s="1"/>
  <c r="D5" i="7" s="1"/>
  <c r="D8" i="7" s="1"/>
  <c r="N19" i="10"/>
  <c r="N20" i="10" s="1"/>
  <c r="N15" i="10" s="1"/>
  <c r="N13" i="10" s="1"/>
  <c r="N5" i="10" s="1"/>
  <c r="AA15" i="5" l="1"/>
  <c r="AA5" i="5" s="1"/>
  <c r="AA6" i="5" s="1"/>
  <c r="AA7" i="5"/>
  <c r="AB27" i="5"/>
  <c r="AB23" i="5" s="1"/>
  <c r="AC42" i="5"/>
  <c r="D9" i="7"/>
  <c r="O19" i="10"/>
  <c r="O20" i="10" s="1"/>
  <c r="O15" i="10" s="1"/>
  <c r="O13" i="10" s="1"/>
  <c r="O5" i="10" s="1"/>
  <c r="AC27" i="5" l="1"/>
  <c r="AC23" i="5" s="1"/>
  <c r="AD42" i="5"/>
  <c r="AB7" i="5"/>
  <c r="AB15" i="5"/>
  <c r="AB5" i="5" s="1"/>
  <c r="AB6" i="5" s="1"/>
  <c r="P19" i="10"/>
  <c r="P20" i="10" s="1"/>
  <c r="P15" i="10" s="1"/>
  <c r="P13" i="10" s="1"/>
  <c r="P5" i="10" s="1"/>
  <c r="AE42" i="5" l="1"/>
  <c r="AD27" i="5"/>
  <c r="AD23" i="5" s="1"/>
  <c r="AC7" i="5"/>
  <c r="AC15" i="5"/>
  <c r="AC5" i="5" s="1"/>
  <c r="AC6" i="5" s="1"/>
  <c r="Q19" i="10"/>
  <c r="Q20" i="10" s="1"/>
  <c r="Q15" i="10" s="1"/>
  <c r="Q13" i="10" s="1"/>
  <c r="Q5" i="10" s="1"/>
  <c r="AD7" i="5" l="1"/>
  <c r="AD15" i="5"/>
  <c r="AD5" i="5" s="1"/>
  <c r="AD6" i="5" s="1"/>
  <c r="AE27" i="5"/>
  <c r="AE23" i="5" s="1"/>
  <c r="AF42" i="5"/>
  <c r="R19" i="10"/>
  <c r="R20" i="10" s="1"/>
  <c r="R15" i="10" s="1"/>
  <c r="R13" i="10" s="1"/>
  <c r="R5" i="10" s="1"/>
  <c r="AF27" i="5" l="1"/>
  <c r="AF23" i="5" s="1"/>
  <c r="AG42" i="5"/>
  <c r="AE7" i="5"/>
  <c r="AE15" i="5"/>
  <c r="AE5" i="5" s="1"/>
  <c r="AE6" i="5" s="1"/>
  <c r="S19" i="10"/>
  <c r="S20" i="10" s="1"/>
  <c r="S15" i="10" s="1"/>
  <c r="S13" i="10" s="1"/>
  <c r="S5" i="10" s="1"/>
  <c r="AH42" i="5" l="1"/>
  <c r="AG27" i="5"/>
  <c r="AG23" i="5" s="1"/>
  <c r="AF15" i="5"/>
  <c r="AF5" i="5" s="1"/>
  <c r="AF6" i="5" s="1"/>
  <c r="AF7" i="5"/>
  <c r="V19" i="10"/>
  <c r="V20" i="10" s="1"/>
  <c r="V15" i="10" s="1"/>
  <c r="V13" i="10" s="1"/>
  <c r="V5" i="10" s="1"/>
  <c r="W19" i="10"/>
  <c r="W20" i="10" s="1"/>
  <c r="U19" i="10"/>
  <c r="U20" i="10" s="1"/>
  <c r="U15" i="10" s="1"/>
  <c r="U13" i="10" s="1"/>
  <c r="U5" i="10" s="1"/>
  <c r="T19" i="10"/>
  <c r="T20" i="10" s="1"/>
  <c r="T15" i="10" s="1"/>
  <c r="T13" i="10" s="1"/>
  <c r="T5" i="10" s="1"/>
  <c r="W15" i="10" l="1"/>
  <c r="W13" i="10" s="1"/>
  <c r="W5" i="10" s="1"/>
  <c r="D20" i="10"/>
  <c r="D15" i="10" s="1"/>
  <c r="D13" i="10" s="1"/>
  <c r="D5" i="10" s="1"/>
  <c r="D9" i="10" s="1"/>
  <c r="AG7" i="5"/>
  <c r="AG15" i="5"/>
  <c r="AG5" i="5" s="1"/>
  <c r="AG6" i="5" s="1"/>
  <c r="AI42" i="5"/>
  <c r="AI27" i="5" s="1"/>
  <c r="AH27" i="5"/>
  <c r="AH23" i="5" s="1"/>
  <c r="AH7" i="5" l="1"/>
  <c r="AH15" i="5"/>
  <c r="AH5" i="5" s="1"/>
  <c r="AH6" i="5" s="1"/>
  <c r="AI23" i="5"/>
  <c r="D27" i="5"/>
  <c r="D23" i="5" s="1"/>
  <c r="D15" i="5" s="1"/>
  <c r="D5" i="5" s="1"/>
  <c r="D7" i="10"/>
  <c r="D9" i="5" l="1"/>
  <c r="D10" i="5"/>
  <c r="AI7" i="5"/>
  <c r="D7" i="5" s="1"/>
  <c r="D12" i="5" s="1"/>
  <c r="AI15" i="5"/>
  <c r="AI5" i="5" s="1"/>
  <c r="AI6" i="5" s="1"/>
  <c r="D6" i="5" s="1"/>
  <c r="D1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tc={CD59D4F0-1E9C-494E-B20C-9317167A538B}</author>
  </authors>
  <commentList>
    <comment ref="B38" authorId="0" shapeId="0" xr:uid="{CD59D4F0-1E9C-494E-B20C-9317167A538B}">
      <text>
        <t>[Threaded comment]
Your version of Excel allows you to read this threaded comment; however, any edits to it will get removed if the file is opened in a newer version of Excel. Learn more: https://go.microsoft.com/fwlink/?linkid=870924
Comment:
    Daroma prielaida, kad dėl praktinės veiklos pagerintų įgūdžių dėka juntamas DU padidėjimas atitiktų DU padidėjimą dėl magistro diplomo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tc={12FA5E56-3F14-4C86-AF73-B3CD3E18FBB5}</author>
  </authors>
  <commentList>
    <comment ref="B35" authorId="0" shapeId="0" xr:uid="{12FA5E56-3F14-4C86-AF73-B3CD3E18FBB5}">
      <text>
        <t>[Threaded comment]
Your version of Excel allows you to read this threaded comment; however, any edits to it will get removed if the file is opened in a newer version of Excel. Learn more: https://go.microsoft.com/fwlink/?linkid=870924
Comment:
    Daroma prielaida, kad užsienyje tobulintos kompetencijos leistų gauti didesnį DU, efektas atitiktų DU padidėjimą dėl magistro laipsnio įgijimo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tc={2A132B8E-003B-4B5A-8CB5-7C96584146CA}</author>
  </authors>
  <commentList>
    <comment ref="B35" authorId="0" shapeId="0" xr:uid="{2A132B8E-003B-4B5A-8CB5-7C96584146CA}">
      <text>
        <t>[Threaded comment]
Your version of Excel allows you to read this threaded comment; however, any edits to it will get removed if the file is opened in a newer version of Excel. Learn more: https://go.microsoft.com/fwlink/?linkid=870924
Comment:
    Daroma prielaida, kad užsienyje tobulintos kompetencijos leistų gauti didesnį DU, efektas atitiktų DU padidėjimą dėl magistro laipsnio įgijimo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tc={357F420E-72FF-489A-AE24-A1A06C10DD9B}</author>
  </authors>
  <commentList>
    <comment ref="B20" authorId="0" shapeId="0" xr:uid="{357F420E-72FF-489A-AE24-A1A06C10DD9B}">
      <text>
        <t>[Threaded comment]
Your version of Excel allows you to read this threaded comment; however, any edits to it will get removed if the file is opened in a newer version of Excel. Learn more: https://go.microsoft.com/fwlink/?linkid=870924
Comment:
    Daroma prielaida, kad naujų kompetencijų dėka pasiektas DU padidėjimas atitiks DU padidėjimą, kurį lemia profesinis mokymas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tc={A4A2D78A-2F3B-4F97-AB6A-6A77488BE974}</author>
  </authors>
  <commentList>
    <comment ref="B22" authorId="0" shapeId="0" xr:uid="{A4A2D78A-2F3B-4F97-AB6A-6A77488BE974}">
      <text>
        <t>[Threaded comment]
Your version of Excel allows you to read this threaded comment; however, any edits to it will get removed if the file is opened in a newer version of Excel. Learn more: https://go.microsoft.com/fwlink/?linkid=870924
Comment:
    Daroma prielaida, kad naujų kompetencijų dėka pasiektas DU padidėjimas atitiks DU padidėjimą, kurį lemia profesinis mokymas</t>
      </text>
    </comment>
  </commentList>
</comments>
</file>

<file path=xl/sharedStrings.xml><?xml version="1.0" encoding="utf-8"?>
<sst xmlns="http://schemas.openxmlformats.org/spreadsheetml/2006/main" count="1589" uniqueCount="354">
  <si>
    <t>Remiamų projektų publikacijos</t>
  </si>
  <si>
    <t>Pateiktos patentų paraiškos</t>
  </si>
  <si>
    <t>MTEP veiklos produktai</t>
  </si>
  <si>
    <t>Apibendrinti skaičiai</t>
  </si>
  <si>
    <t>Viso</t>
  </si>
  <si>
    <t>Laikotarpis</t>
  </si>
  <si>
    <t>Naudos įverčiai (remiantis CPVA)</t>
  </si>
  <si>
    <t>5. Žinių kūrimo vertė (mokslinių publikacijų rengimo nauda)</t>
  </si>
  <si>
    <t>8.1. Inovacijų produktų komercinimo vertė (vidutinė rinkoje realizuoto patento vertė)</t>
  </si>
  <si>
    <t>Naudos įverčiai (remiantis PPMI vertinimu)</t>
  </si>
  <si>
    <t xml:space="preserve">Naudos įverčiai </t>
  </si>
  <si>
    <t>13. Pumpurinių įmonių ekonominė vertė</t>
  </si>
  <si>
    <t>ESF+ atliktų edukacinių tyrimų pagrindu parengtos publikacijos</t>
  </si>
  <si>
    <t>ESF+ lėšomis tarptautinėse švietimo ir ugdymo srities tyrimų programose ir / ar projektuose dalyvavusių tyrėjų, mokslinio tyrimo rezultatų ataskaitos</t>
  </si>
  <si>
    <t>4.2.1.1. Pagerintų įgūdžių dėka pasiektas darbo užmokesčio padidėjimas (mokslo daktaro laipsnis; Socialiniai mokslai; Vyrai ir moterys)</t>
  </si>
  <si>
    <t>1.1. Pasiryžimas sumokėti už padidėjusį ikimokyklinio ugdymo paslaugų prieinamumą (investicijos į valstybinius darželius)</t>
  </si>
  <si>
    <t>1.2. Pasiryžimas sumokėti už padidėjusį ikimokyklinio ugdymo paslaugų prieinamumą (išvengtos į namus atvykstančių auklių sąnaudos)</t>
  </si>
  <si>
    <t>1.3. Pasiryžimas sumokėti už padidėjusį ikimokyklinio ugdymo paslaugų prieinamumą (išvengti kuriamo produkto praradimai)</t>
  </si>
  <si>
    <t>Papildomos prielaidos</t>
  </si>
  <si>
    <t>Dalis tėvų, grįžtančių į darbą</t>
  </si>
  <si>
    <t>Dalis tėvų, kuriems nebereikia auklės paslaugų</t>
  </si>
  <si>
    <t>Dalis tėvų, kuriems nebereikia privataus darželio paslaugų</t>
  </si>
  <si>
    <t>Mokinių, besinaudojančių paremta švietimo infrastruktūra, skaičius per metus</t>
  </si>
  <si>
    <t>Mokinių, besinaudojančių sukurta VDM infrastruktūra, skaičius</t>
  </si>
  <si>
    <t>2.1. Pasiryžimas sumokėti už padidėjusį bendrojo ugdymo paslaugų prienamumą ir pagerėjusią kokybę (pradinės mokyklos)</t>
  </si>
  <si>
    <t>2.2. Pasiryžimas sumokėti už padidėjusį bendrojo ugdymo paslaugų prienamumą ir pagerėjusią kokybę (vidurinės mokyklos)</t>
  </si>
  <si>
    <t>3.3. Pasiryžimas sumokėti už padidėjusį neformaliojo švietimo paslaugų prieinamumą ir pagerėjusią kokybę (išvengtos tos pačios, tačiau rinkoje brangesnės paslaugos gavimo sąnaudos) (daroma prielaida, kad būrelis kainuotų 30EUR per mėn vienam vaikui)</t>
  </si>
  <si>
    <t>Priemonės lėšos mokyklose daugiausiai naudojamos gamtos mokslų laboratorijų įrengimui bei įvairių preimonių įsigijimui. Daroma prielaida, kad mokiniai praleis 20 proc. mokymosi laiko mokydamiesi dalykus, kuriuose naudojama įranga atnaujinta</t>
  </si>
  <si>
    <t>Daroma prielaida, kad laboratorijos bus įrengiamos daugiausiai pagrindinėse mokyklose ar gimnazijose, o ne pradinio ugdymo įstaigose, tad bendrai paremta švietimo infrastruktūra daugiausiai naudosis 5-12 kl. Mokiniai</t>
  </si>
  <si>
    <t>5-12:</t>
  </si>
  <si>
    <t>1-4:</t>
  </si>
  <si>
    <t>20 proc. darbo užmokesčio padidėjimo, kurį nulemia profesinių kvalifikacijų įgijimas, nulems naudojimasis atnaujinta įranga</t>
  </si>
  <si>
    <t>4.1.  Pagerintų įgūdžių dėka pasiektas darbo užmokesčio padidėjimas (profesinis mokymas; specifines reikšmes žr. prie įverčio)</t>
  </si>
  <si>
    <t>Papildoma informacija</t>
  </si>
  <si>
    <t>Bakalauro laipsnio suteikiamas DU padidėjimas</t>
  </si>
  <si>
    <t>Magistro laipsnio suteikiamas DU padidėjimas</t>
  </si>
  <si>
    <t>Švietimo srities bakalauro studijų studentų sk.</t>
  </si>
  <si>
    <t>Švietimo srities magistro studijų studentų sk.</t>
  </si>
  <si>
    <t>2021 pirmo pusmečio vidutinis mėnesio atlyginimas (bruto) mokslinių tyrimų ir taikomosios veiklos srityje (M72 statistikos departamento rodiklių bazėje) viešajame sektoriuje</t>
  </si>
  <si>
    <t>Prognozuojamas tyrėjo mėnesinis DU (augimas prognozuojamas konsultanto remiantis 2019-2021 m. tendencijomis, nepritaikius priemonių)</t>
  </si>
  <si>
    <t>Tyrėjų skaičius 2019 (remiantis statistikos departamento duomenimis)</t>
  </si>
  <si>
    <t>MSI ir įmonių pateiktos patentų paraiškos</t>
  </si>
  <si>
    <t>Naudos įverčiai (remiantis CPVA metodika)</t>
  </si>
  <si>
    <t>8.2. Inovacijų produktų komercinimo vertė (itin vertingo patento tarptautinėje rinkoje vidutinė vertė)</t>
  </si>
  <si>
    <t>4.2. Pagerintų įgūdžių dėka pasiektas darbo užmokesčio padidėjimas (mokslo daktaro laipsnis)</t>
  </si>
  <si>
    <t>Pagerintų įgūdžių dėka pasiektas darbo užmokesčio padidėjimas (magistro laipsnis)</t>
  </si>
  <si>
    <t>6. Žinių kūrimo vertė (mokslinių publikacijų citavimo nauda)</t>
  </si>
  <si>
    <t>Tyrėjaus skaičiaus prognozės (augimas prognozuojamas konsultanto remiantis 2015-2019 m. tendencijomis, nepritaikius priemonių)</t>
  </si>
  <si>
    <t>Studentų, besinaudojančių sukurta pedagogų rengimo centrų ar edukologijos doktorantūrai reikalinga infrastruktūra, dalis</t>
  </si>
  <si>
    <t>Pagerintų įgūdžių dėka pasiektas darbo užmokesčio padidėjimas (magistro laipsnis, socialiniai mokslai)</t>
  </si>
  <si>
    <t>Vidurinių klasių mokytojų skaičius 2020-2021 m. m. (ŠVIS duomenys ir 2022-2038 m. konsultanto prognozė)</t>
  </si>
  <si>
    <t>Pradinių klasių mokytojų skaičius 2020-2021 m. m. (ŠVIS duomenys ir 2022-2038 m. konsultanto prognozė)</t>
  </si>
  <si>
    <t>Mokinių, tenkančių vienam mokytojui, skaičius 2020-2021 m. m. (ŠVIS duomenys, daroma prielaida, kad skaičius išliks panašus)</t>
  </si>
  <si>
    <t>Dalis mokytojų, dalyvavusių veiklose ir įgijusių kvalifikaciją</t>
  </si>
  <si>
    <t>Publikacijų citatos</t>
  </si>
  <si>
    <t>Asmenų, kurie po dalyvavimo ESF+ veiklose baigė doktorantūros studijas (bendras skaičius asmenų, jaučiančių doktorantūros studijų baigimo naudą)</t>
  </si>
  <si>
    <t>Už minimalų atlyginimą įdarbinto bedarbio kuriamas produktas</t>
  </si>
  <si>
    <t>Socialinę riziką patiriantys vaikai, lankantys darželį dėl vaiko garantijos</t>
  </si>
  <si>
    <t>Švietimo pagalbą gavusių vaikų skaičius</t>
  </si>
  <si>
    <t>Asmenų, kurie dalyvavę ESF+ mokymuose įgijo kompetenciją skaičius</t>
  </si>
  <si>
    <t>Švietimo pagalbą gavę vaikai</t>
  </si>
  <si>
    <t>Pagerintų įgūdžių dėka pasiektas darbo užmokesčio padidėjimas (bakalauro laipsnis)</t>
  </si>
  <si>
    <t>4.1.  Pagerintų įgūdžių dėka pasiektas darbo užmokesčio padidėjimas (profesinis mokymas)</t>
  </si>
  <si>
    <t>Naudos įverčiai</t>
  </si>
  <si>
    <t>Naujos arba modernizuotos švietimo infrastruktūros naudotojų skaičius per metus (interpretuojamas kaip švietimo pagalbą gaunančių asmenų sk.)</t>
  </si>
  <si>
    <t>Daroma prielaida, kad vaikui gavus švietimo pagalbą, po vidutiniškai 8 m. pasireikštų jos nauda dėl įgytų kvalifikacijų (profesinio mokymo arba bakalauro), ir tai prisidėtų prie didesnių pajamų</t>
  </si>
  <si>
    <t>Asmenims įgijus kompetencijas arba kvalifikacijas, dėl to generuojama nauda skaičiuojama 10 m. laikotarpiui</t>
  </si>
  <si>
    <t>"Minkštosios infrastruktūros" naudos laikotarpis irgi siekia 10 m.</t>
  </si>
  <si>
    <t>VDM veiklose sudalyvavę vaikai</t>
  </si>
  <si>
    <t>3.3. Pasiryžimas sumokėti už padidėjusį neformaliojo švietimo paslaugų prieinamumą ir pagerėjusią kokybę (išvengtos tos pačios, tačiau rinkoje brangesnės paslaugos gavimo sąnaudos) (daroma prielaida, kad būrelis įprastai kainuotų 30EUR per mėn vienam vaikui)</t>
  </si>
  <si>
    <t>Pasiryžimas sumokėti už padidėjusį neformaliojo švietimo paslaugų prieinamumą ir pagerėjusią kokybę (išvengtos tos pačios, tačiau rinkoje brangesnės paslaugos gavimo sąnaudos) (daroma prielaida, kad įprastai veiklos kainuotų 50 EUR per mėn, o investicijų dėka - 30 EUR per mėn)</t>
  </si>
  <si>
    <t>Daroma prielaida, kad 20 proc. studentų ir mokinių, gavusių paramą, nebūtų baigę mokymų/studijų be paramos</t>
  </si>
  <si>
    <t>Pagal priemonę numatoma teikti įvietimo pagalbą profesinio mokymo įstaigų mokiniams ir studentams, tad daroma prielaida, kad 15 proc. studentų ir mokinių, kuriems buvo skirtos išmokos, užbaigė mokslus dėl gautos švietimo pagalbos</t>
  </si>
  <si>
    <t>Su MSI bendradarbiaujančios įmonės (suma)</t>
  </si>
  <si>
    <t>Papildomi naudos įverčiai</t>
  </si>
  <si>
    <t>Papildomos pajamos dėl bendradarbiavimo su viena įmone</t>
  </si>
  <si>
    <t xml:space="preserve">Remiantis ateities ekonomikos DNR plano analize (https://strata.gov.lt/images/tyrimai/2020-metai/geresnis-valdymas/20200518-Ateities-ekonomikos-DNR-plano-analiz%C4%97.pdf), Lietuvos mokslo vardo žinomumas ir palankus įvaizdis prisideda prie tiesioginių užsienio investicijų (TUI) pritraukimo. Tad daroma prielaida, kad priemonės įgyvendinimo dėka profesinės, mokslinės ir techninės veiklos TUI kiekvieną ketvirtį padidetų suma, lygia 0,1 proc. 2021 m. I ketvirčio profesinės, mokslinės ir techninės veiklos TUI </t>
  </si>
  <si>
    <t>2021 I ketv. profesinės, mokslinės ir techninės veiklos TUI (https://www.lb.lt/lt/tiesiogines-uzsienio-investicijos-lietuvoje-pagal-ekonomines-veiklos-rusi-ir-finansine-priemone)</t>
  </si>
  <si>
    <t>Daroma prielaida, kad mokymuose dalyvaus dvigubai daugiau MSI darbuotojų, negu numatoma sukurti naujų darbo vietų</t>
  </si>
  <si>
    <t>Atsižvelgus į tai, kad priemonės veiklas organizuotų ir įgyvendintų MSI ITPC, 10 proc. priemonės sukuriamos naudos priskiriama priemonėje Žinių perdavimas ir komercinimas</t>
  </si>
  <si>
    <t>Kadangi ITPC organizuos ir įgyvendins projektus pagal priemonę "MTEP verslumo įgūdžiai", 10 proc. toje priemonėje sukuriamos naudos pridedama prie priemonės "Žinių perdavimas ir komercinimas"</t>
  </si>
  <si>
    <t>Naudos įverčiai (remiantis konsultanto prognozėmis)</t>
  </si>
  <si>
    <t>Daroma prielaida, kad pradinių klasių mokytojai su vaikais praleidžia 80 proc. jų mokymosi laiko (atsižvelgus, kad kai kuriuos dalykus moko dalykų mokytojai, pvz., anglų k., tikybą, muziką), o vidurinėje mokykloje vidutiniškai tik 10 proc. laiko (nes laikas pasiskirsto tarp daugiau mokytojų, kai kurie iš jų turi tik po vieną pamoką per savaitę)</t>
  </si>
  <si>
    <t>Asmenys, įgiję profesinį/aukštąjį išsilavinimą</t>
  </si>
  <si>
    <t xml:space="preserve">Dėl didesnio skaičiaus edukologijos tyrėjų ir parengtų publikacijų, bus priimama daugiau duomenimis grįstų sprendimų, kas leis pagerinti mokinių rezultatus ir sumažinti ankstyvą pasitraukimą iš švietimo sistemos. Remiantis Eurostat, 2020 5,6 proc. 18-24 m. asmenų Lietuvoje buvo įgiję pagrindinį arba žemesnį išsilavinimą ir nesimokė. Remiantis Statistikos departamento informacija apie gyventojų skaičių, 5,6 proc. būtų lygūs 11,7 tūkst. asmenų. Daroma prielaida, kad švietimo tyrimų dėka rodiklis nu 5,6 proc. sumažėtų iki 5 proc. Daroma prielaida, kad dėl priemonės įgyvendinimo nuo 2026 m. 10 metų kasmet 160 papildomų asmenų įgytų aukštesnį išsilavinimo laipsnį (vidurinį, profesinį arba aukštąjį), pagerintų įgūdžių dėka pasiektas DU padidėjimas vertinamas 10 m. nuo išsilavinimo pabaigos </t>
  </si>
  <si>
    <t>Asmenų, kurie po dalyvavimo ESF+ veiklose baigė doktorantūros studijas</t>
  </si>
  <si>
    <t>Daroma prielaida, kad 45 proc. iš švietimo anksti nepasitraukusių asmenų įgis profesinį išsilavinimą, o dar 40 proc. - aukštąjį išsilavinimą, likusieji - vidurinį išsilavinimą</t>
  </si>
  <si>
    <t>Daroma prielaida, kad atvejais, kai projektus vykdo ir aukštosios mokyklos, būtų sukuriamos ir mokslinės publikacijos</t>
  </si>
  <si>
    <t>Parengtos mokslinės publikacijos</t>
  </si>
  <si>
    <t>Mokslinių publikacijų citatos</t>
  </si>
  <si>
    <t>Priemonė "Švietimo inovacijos"</t>
  </si>
  <si>
    <t>Daroma prielaida, kad sukūrus naujus modelius arba planuojant paslaugų nuotoliniu būdu teikimą, būtų tobulinamos mokytojų ir švietimo pagalbos specialistų kompetencijos</t>
  </si>
  <si>
    <t>Papildomų kompetencijų įgiję asmenys</t>
  </si>
  <si>
    <t>Kompetencijų įgijusių asmenų suma, kurių DU padidėjo dėl įgytų kompetencijų</t>
  </si>
  <si>
    <t>Mokiniai, kurie mokosi mokyklose, kuriose diegiamos švietimo inovacijos</t>
  </si>
  <si>
    <t xml:space="preserve">Daroma prielaida, kad diegiant švietimo inovacijas, didės tėvų pasiryžimas mokėti už pagerėjusią bendrojo ugdymo paslaugų kokybę, o mokiniai su inovacijomis susidurs 10 proc. savo laiko mokykloje. Švietimo inovacija laikoma aktualia 5 m. </t>
  </si>
  <si>
    <t>Priemonė "Taikomieji MTEP"</t>
  </si>
  <si>
    <t>Priemonė "Mokslo tarptautiškumas"</t>
  </si>
  <si>
    <t>Priemonė "Žinių perdavimas ir komercinimas"</t>
  </si>
  <si>
    <t>Priemonė "Tyrėjo karjera"</t>
  </si>
  <si>
    <t>Priemonė "Jungimasis į Europos atvirojo mokslo debesį"</t>
  </si>
  <si>
    <t>Priemonė "MTEP verslumo įgūdžiai"</t>
  </si>
  <si>
    <t>Priemonė "Pagalba švietimo specialistams"</t>
  </si>
  <si>
    <t>Priemonė "Tyrimai švietimui"</t>
  </si>
  <si>
    <t>Priemonė "Privalomojo ugdymo pradžios ankstinimas"</t>
  </si>
  <si>
    <t>Priemonė "Švietimo įtrauktis"</t>
  </si>
  <si>
    <t>Priemonė "Ikimokyklinio ugdymo ir VDM prieinamumas"</t>
  </si>
  <si>
    <t>Priemonė "Socialinės ir finansinės paskatos mokytis"</t>
  </si>
  <si>
    <t>Priemonė "Dalyvavimo MVG plėtra"</t>
  </si>
  <si>
    <t>Priemonė "Suaugusiųjų švietimo įtraukties didinimas"</t>
  </si>
  <si>
    <t>Priemonė "Infrastruktūra ir susisiekimas ugdymo prieinamumui"</t>
  </si>
  <si>
    <t>"Priemonės ir įranga mokymui"</t>
  </si>
  <si>
    <t>"Kompleksinė švietimo pagalba"</t>
  </si>
  <si>
    <t>"Profesinio mokymo įstaigų infrastruktūros gerinimas"</t>
  </si>
  <si>
    <t>"Pedagogų rengimo infrastruktūra"</t>
  </si>
  <si>
    <t>1.</t>
  </si>
  <si>
    <t>2.</t>
  </si>
  <si>
    <t>Eil. Nr.</t>
  </si>
  <si>
    <t>Dimensija</t>
  </si>
  <si>
    <t>Metai</t>
  </si>
  <si>
    <t>EUR</t>
  </si>
  <si>
    <t>3.</t>
  </si>
  <si>
    <t>5.</t>
  </si>
  <si>
    <t>6.</t>
  </si>
  <si>
    <t>Finansinė nauda (pajamos)</t>
  </si>
  <si>
    <t>Socialinė nauda (remiantis CPVA metodika)</t>
  </si>
  <si>
    <t>Koef.</t>
  </si>
  <si>
    <t>6.1</t>
  </si>
  <si>
    <t>Netiesioginė socialinė nauda</t>
  </si>
  <si>
    <t>6.1.1</t>
  </si>
  <si>
    <t>6.1.1.1</t>
  </si>
  <si>
    <t>6.1.2</t>
  </si>
  <si>
    <t>6.1.2.1</t>
  </si>
  <si>
    <t>6.1.3</t>
  </si>
  <si>
    <t>6.1.3.1</t>
  </si>
  <si>
    <t>6.2</t>
  </si>
  <si>
    <t>6.2.1</t>
  </si>
  <si>
    <t>6.2.2</t>
  </si>
  <si>
    <t>6.2.3</t>
  </si>
  <si>
    <t>6.2.2.1</t>
  </si>
  <si>
    <t>6.2.1.1</t>
  </si>
  <si>
    <t>6.2.3.1</t>
  </si>
  <si>
    <t>Asmenų, kurie pagerino įgūdžius per praktinę veiklą, ir jaučia naudą per padidėjusį DU, skaičius (suma, daroma prielaida, kad prie projektų prisidės 50 proc. mokslininkų, dirbančių paramą gavusiose MSI)</t>
  </si>
  <si>
    <t>Parengtų publikacijų citavimas (citatų sk. per metus)</t>
  </si>
  <si>
    <t>Vnt.</t>
  </si>
  <si>
    <t>6.2.4</t>
  </si>
  <si>
    <t>Papildomo pažangiųjų technologijų prekių eksporto vertė</t>
  </si>
  <si>
    <t>7.</t>
  </si>
  <si>
    <t>7.1</t>
  </si>
  <si>
    <t>7.2</t>
  </si>
  <si>
    <t>7.3</t>
  </si>
  <si>
    <t>7.4</t>
  </si>
  <si>
    <t>7.5</t>
  </si>
  <si>
    <t>7.6</t>
  </si>
  <si>
    <t>7.7</t>
  </si>
  <si>
    <t>8.</t>
  </si>
  <si>
    <t>8.1</t>
  </si>
  <si>
    <t>8.2</t>
  </si>
  <si>
    <t>9.1</t>
  </si>
  <si>
    <t>9.2</t>
  </si>
  <si>
    <t>9.</t>
  </si>
  <si>
    <t>2.1</t>
  </si>
  <si>
    <t>2.2</t>
  </si>
  <si>
    <t>Papildomos TUI</t>
  </si>
  <si>
    <t>2.3</t>
  </si>
  <si>
    <t>proc.</t>
  </si>
  <si>
    <t>Investicijas gavusių MSI sutarčių su įmonėmis finansinės vertės padidėjimo socialinė vertė (GDV, diskontuota) | Alternatyva C</t>
  </si>
  <si>
    <t>Investicijas gavusių MSI sutarčių su įmonėmis finansinės vertės padėjimo socialinė vertė (GDV, diskontuota)  | Alternatyva A</t>
  </si>
  <si>
    <t>10.1</t>
  </si>
  <si>
    <t>10.2</t>
  </si>
  <si>
    <t>10.</t>
  </si>
  <si>
    <t>6.2.4.1</t>
  </si>
  <si>
    <t xml:space="preserve">Patentų paraiškų socialinė nauda (GDV, diskontuota) </t>
  </si>
  <si>
    <t xml:space="preserve">Sukurtų darbo vietų socialinė nauda (GDV, diskontuota) </t>
  </si>
  <si>
    <t xml:space="preserve">Kompetencijų tobulinimo socialinė nauda dėl DU padidėjimo (GDV, diskontuota) </t>
  </si>
  <si>
    <t xml:space="preserve">Pumpurinių įmonių socialinė nauda (GDV, diskontuota) </t>
  </si>
  <si>
    <t>6.1.2.1.1</t>
  </si>
  <si>
    <t>Industrinę doktorantūrą baigę asmenys, jaučiantys DU padidėjimą</t>
  </si>
  <si>
    <t>Suminės ekonominės naudos ir suminių kaštų GDV skirtumas | Alternatyva A</t>
  </si>
  <si>
    <t>Suminės ekonominės naudos ir suminių kaštų GDV skirtumas</t>
  </si>
  <si>
    <t>Laiko sutaupymo prelaida | Alternatyva A</t>
  </si>
  <si>
    <t>Laiko sutaupymo prelaida | Alternatyva B</t>
  </si>
  <si>
    <t>7.1.1</t>
  </si>
  <si>
    <t>7.2.1</t>
  </si>
  <si>
    <t>`</t>
  </si>
  <si>
    <t>Purpurinių įmonių socialinė nauda (GDV, diskontuota) | Alternatyva A</t>
  </si>
  <si>
    <t>Purpurinių įmonių socialinė nauda (GDV, diskontuota) | Alternatyva C</t>
  </si>
  <si>
    <t>Asmenys, kurie dalyvavo veiklose ir įgijo kvalifikaciją, bei jaučia įgytos kvalifikacijos naudą</t>
  </si>
  <si>
    <t>Asmenų, kurie įgijo kvalifikaciją, DU padidėjimo socialinė nauda (GDV, diskontuota)</t>
  </si>
  <si>
    <t>6.2.5</t>
  </si>
  <si>
    <t>6.2.5.1</t>
  </si>
  <si>
    <t>6.2.6</t>
  </si>
  <si>
    <t>6.2.6.1</t>
  </si>
  <si>
    <t>Socialinė nauda dėl pasiryžimo susimokėti už pagerėjusią vidurinio mokymo paslaugų kokybę (GDV, diskontuota)</t>
  </si>
  <si>
    <t>Socialinė nauda dėl pasiryžimo susimokėti už pagerėjusią pradinio mokymo paslaugų kokybę (GDV, diskontuota)</t>
  </si>
  <si>
    <t>Pradinių klasių mokytojai, dalyvavę veiklose ir įgiję kvalifikaciją (bendras sk.)</t>
  </si>
  <si>
    <t>Vidurinių klasių mokytojai, dalyvavę veiklose ir įgiję kvalifikaciją (bendras sk.)</t>
  </si>
  <si>
    <t>6.2.2.2</t>
  </si>
  <si>
    <t>Pgerintų įgūdžių socialinė nauda (GDV, diskontuota)</t>
  </si>
  <si>
    <t>Publikacijų citatų socialinė nauda (GDV, diskontuota)</t>
  </si>
  <si>
    <t>Bendras metinis asmenų, kurie gauna pagerintų įgūdžių dėka padidėjusį DU, skaičius</t>
  </si>
  <si>
    <t>6.1.2.2</t>
  </si>
  <si>
    <t>Kvalifikacijos įgijimo socialinė nauda (GDV, diskontuota)</t>
  </si>
  <si>
    <t>Asmenys, kurie dalyvavo veiklose ir įgijo kvalifikaciją, ir jaučia naudą</t>
  </si>
  <si>
    <t>1.2</t>
  </si>
  <si>
    <t>Suminės ekonominės naudos ir suminių kaštų GDV skirtumas | Alternatyva C</t>
  </si>
  <si>
    <t>Įgytų kompetencijų socialinė nauda (GDV, diskontuota)</t>
  </si>
  <si>
    <t>Publikacijų parengimo socialinė nauda (GDV, diskontuota)</t>
  </si>
  <si>
    <t>Įgyto doktorantūros laipsnio socialinė nauda (GDV, diskontuota)</t>
  </si>
  <si>
    <t>Mokslinių tyrimų rezultatų ataskaitų socialinė vertė (GDV, diskontuota)</t>
  </si>
  <si>
    <t>Švietimo pagalbą gavę vaikai, įgiję profesinį/aukštąjį išsilavinimą (metinis naudą gaunančių asmenų sk.)</t>
  </si>
  <si>
    <t>VDM veiklų socialinė nauda (GDV, diskontuota)</t>
  </si>
  <si>
    <t>Asmenų, kurie dalyvavę ESF+ mokymuose įgijo kompetenciją ir jaučia naudą, skaičius</t>
  </si>
  <si>
    <t>6.1.1.2</t>
  </si>
  <si>
    <t>Švietimo pagalbą gavę vaikai, įgiję profesinį/aukštąjį išsilavinimą ir jaučiantys naudą</t>
  </si>
  <si>
    <t>Socialinė nauda dėl studijų baigimo (GDV, diskontuota)</t>
  </si>
  <si>
    <t>Socialinė nauda dėl profesinio mokymo baigimo (GDV, diskontuota)</t>
  </si>
  <si>
    <t>Mokiniai ir studentai, dalyvaujantys neformaliojo švietimo veiklose</t>
  </si>
  <si>
    <t>Socialiai jautrių, socialinės atskirties ir / ar mažai atstovaujamų grupių studentai, kuriems buvo skirta tikslinė ESF+ išmoka studijų prieinamumui gerinti, jaučiantys priemonės naudą</t>
  </si>
  <si>
    <t>Mokiniai iš nepalankias sąlygas turinčių asmenų grupių, kuriems buvo skirta ESF+ parama profesinio mokymo prieinamumui gerinti, jaučiantys priemonės naudą</t>
  </si>
  <si>
    <t>Neformaliojo švietimo socialinė nauda (GDV, diskontuota)</t>
  </si>
  <si>
    <t>Švietimo pagalbą gavę vaikai, įgiję profesinį/aukštąjį išsilavinimą, ir jaučiantys naudą</t>
  </si>
  <si>
    <t>8.3</t>
  </si>
  <si>
    <t>8.4</t>
  </si>
  <si>
    <t>8.5</t>
  </si>
  <si>
    <t>Parengtų mokslinių publikacijų socialinė nauda (GDV, diskontuota)</t>
  </si>
  <si>
    <t>Mokslinių publikacijų socialinė nauda (GDV, diskontuota)</t>
  </si>
  <si>
    <t>Papildomų kompetencijų įgijimo socialinėnauda (GDV, diskontuota)</t>
  </si>
  <si>
    <t>Švietimo inovacijų diegimo socialinė nauda (GDV, diskontuota)</t>
  </si>
  <si>
    <t>6.2.3.2</t>
  </si>
  <si>
    <t>1.1</t>
  </si>
  <si>
    <t>Proc.</t>
  </si>
  <si>
    <t>Naujų ikimokyklinio ugdymo vietų socialinė nauda (GDV, diskontuota)</t>
  </si>
  <si>
    <t>Bendradarbiavimo su įmonėmis socialinė nauda (GDV, diskontuota)</t>
  </si>
  <si>
    <t>Industrinės doktorantūros socialinė nauda (GDV, diskontuota)</t>
  </si>
  <si>
    <t>Į užsienį išvykusių tyrėjų patobulintų kompetencijų nauda (GDV, diskontuota)</t>
  </si>
  <si>
    <t>Laiko sutaupymo socialinė nauda (GDV, diskontuota)</t>
  </si>
  <si>
    <t>Sukurtų naujų ikimokyklinio ugdymo vietų skaičius (suma)</t>
  </si>
  <si>
    <t>Studentų įgytų įgūdžių socialinė nauda (GDV, diskontuota)</t>
  </si>
  <si>
    <t>Įgyto išsilavinimo socialinė nauda (GDV, diskontuota)</t>
  </si>
  <si>
    <t>Kvalifikacijų įgijimo socialinė nauda (GDV, diskontuota)</t>
  </si>
  <si>
    <t>VDM infrastruktūros socialinė nauda (GDV, diskontuota)</t>
  </si>
  <si>
    <t>Tiesioginė socialinė nauda (sukurta siekiant planuojamų rodiklių)</t>
  </si>
  <si>
    <t>Daroma prielaida, kad 30 proc. vaikų dėl gautos švietimo pagalbos įgis profesinį išsilavinimą, o dar 20 proc. - aukštąjį išsilavinimą</t>
  </si>
  <si>
    <t>4.1</t>
  </si>
  <si>
    <t>4.2</t>
  </si>
  <si>
    <t>4.3</t>
  </si>
  <si>
    <t>ENIS | Alternatyva A:</t>
  </si>
  <si>
    <t>ENIS | Alternatyva B:</t>
  </si>
  <si>
    <t>ENIS | Alternatyva C:</t>
  </si>
  <si>
    <t>1.3</t>
  </si>
  <si>
    <t xml:space="preserve">Remiantis STRATA tyrėjų darbo sąlygų tyrimu (https://strata.gov.lt/images/tyrimai/2021-metai/mokslo-politika/tyreju-darbo-salygos/20210104-tyreju-darbo-salygos.pdf), tyrėjai skiria 10-27 val. darbo laiko per savaitę moksliniams tyrimams vykdyti, priklausomai nuo pareigos ir darbovietės. Taigi, 25-67,5 proc. laiko skiriama tyrimams. </t>
  </si>
  <si>
    <t>Remiantis MITA MTEP išlaidų apskaitos vedimo ir MTEP projektų dokmentavimo rekomendacijomis, trečias iš keturių pagrindinių tyrimo etapų yra empirinių duomenų rinkimas, o paskutinis - duomenų apdorojimas. Daroma prielaida, kad prisijungus į Europos atvirąjį mokslo debesį, kai kuriais atvejais (kai debesyje esantys duomenys atitiks tyrėjų poreikius), bus reikšmingai sutrumpinamas trečiasis etapas, galbūt šiek tiek sutrumpinamas ir ketvirtasis, taigi, bus sutaupoma dalis tyrėjų laiko, kurią jie galės skirti kitiems darbams.</t>
  </si>
  <si>
    <t>Investicijas gavusių MSI MTEP užsakymų skaičius | Alternatyva A</t>
  </si>
  <si>
    <t>Investicijas gavusių MSI MTEP užsakymų skaičius | Alternatyva C</t>
  </si>
  <si>
    <t>Vidutinė įgyvendinto projekto vertė (remiantis 2014-2020 m. sutartyse siekiamais rezultatais)</t>
  </si>
  <si>
    <t>10.3</t>
  </si>
  <si>
    <t>Atsižvelgus į tai, kad įgyvendinant priemonę numatomas darbuotojų kompetencijų tobulinimas, įvertinamas ir galimas darbo užmokesčio padidėjimas dėl naujų įgūdžių</t>
  </si>
  <si>
    <t>9.3</t>
  </si>
  <si>
    <t>10.4</t>
  </si>
  <si>
    <t>Įgyvendinant MTEP, ypač projektus su verslu, siekiama žinias komercinti, taigi, daroma prielaida, kad dėl dalies bendradarbiavimo projektų MSI arba bendradarbiaujančios įmonės teikt patentų paraiškas</t>
  </si>
  <si>
    <t xml:space="preserve">Dėl dalies patvirtintų patentų būtų įrengiamos atžalinės įmonės. Daroma prielaida, kad 20 proc. patentų paraiškų vestų prie atžalinių įmonių įkūrimo. Universitetai perleistų dalį intelektinės nuosavybės teisių naujai įsteigtoms atžalinėms įmonėms. Pavyzdys kaip patentuotos technologijos ir univeriteto žinios perleidžiamos atžalinei įmonei: https://www.wipo.int/ipadvantage/en/details.jsp?id=2553 </t>
  </si>
  <si>
    <t>9.4</t>
  </si>
  <si>
    <t>Daroma prielaida, kad MTEP vykdymas sudaro sąlygas tyrimuose dalyvaujantiems tyrėjams ir studentams pagerinti įgūdžius ir jų dėka pasiekti darbo užmokesčio padidėjimą</t>
  </si>
  <si>
    <t xml:space="preserve">Daroma prielaida, kad MTEP vykdymas, ypač bendradarbiaujant su verslu, prisidėtų prie pažangiųjų technologijų prekių eksporto augimo (kasmetinis indėlis būtų lygus 0,5 proc. 2017 m. eksporto vertės  https://strata.gov.lt/lt/apie-mus/8-naujienos/517-pazangi-j-technologij-gamybos-sektorius-finansai-auga-bet-kiti-rodikliai-atsilieka). Prielaida remiasi įžvalgomis akademiniuose straipsniuose (pvz., https://www.researchgate.net/figure/Intensity-of-R-D-expenditures-gross-expenditure-for-R-D-as-a-share-of-GDP-2011-Source_fig3_277583299) </t>
  </si>
  <si>
    <t>Parengus publikacijas sudaroma galimybė cituoti jas, taigi, vertinama ir publikacijų citavimo socialinė nauda</t>
  </si>
  <si>
    <t>Atsižvelgus į tai, kad vienas iš numatomų priemonės investicinių veiksmų yra industrinės doktorantūros finansavimas, daroma prielaida, kad parengtų doktorantų skaičius bus tris kartus didesnis nei su MSI bendradarbiaujančių įmonių skaičius, o daktaro laipsnio įtaka DU pasireikš praėjus 5 m. nuo doktorantūros studijų pradžios</t>
  </si>
  <si>
    <t xml:space="preserve">Mokytojams sudalyvavus įgūdžių tobulinimo veiklose pagerės mokymo kokybė, taigi, įvertinama ir tėvų pasiryžimo sumokėti už pagerėjusią paslaugų kokybę, nauda. </t>
  </si>
  <si>
    <t xml:space="preserve">Daroma prielaida, kad studentai, pasinaudoję nauja infrastruktūra, įgis papildomų žinių, taigi, investicijos į infrastruktūrą prisidės prie naujų įgūdžių nulemiamo DU padidėjimo. </t>
  </si>
  <si>
    <t>Nauda skaičiuojama 10 m. laikotarpiui nuo paskutinių investicijų metų</t>
  </si>
  <si>
    <t>Po 8 m. pasireiškus švietimo pagalbos socialinei naudai, ji skaičiuojama 10 m., kaip ir kitose su įgūdžiais susijusiose priemonėse, tačiau atsižvelgus į tai, kad priemonėje kuriama "kietoji" infrastruktūra, vaikų, gaunančių švietimo pagalbą, skaičius vertinamas 15  m. nuo askutinių investicijų metų</t>
  </si>
  <si>
    <t>Pasiryžimo sumokėti už padidėjusį ugdymo paslaugų prieinamumą ir pagerėjusią kokybę vidutinis įvertis</t>
  </si>
  <si>
    <t>Daroma prielaida, kad investicijos į bendrojo ugdymo paslaugas kurs socialinę naudą dėl tėvų pasiryžimo sumokėti už padidėjusį ugdymo prieinamumą ir kokybę (vertinant, kiek tėvai mokėtų už privačias mokyklas, kur paslaugų kokybė jau laikoma geresne)</t>
  </si>
  <si>
    <t>Daroma prielaida, kad investicijos į VDM veiklas siejasi su neformaliojo švietimo prieinamumo didinimu, taigi, vertinant investicijų naudą vertinamas ir tėvų pasiryžimas sumokėti už padidėjusį neformaliojo švietimo paslaugų prieinamumą ir pagerėjusią kokybę</t>
  </si>
  <si>
    <t>Daroma prielaida, kad užsienyje įgytos kompetencijos leis tyrėjams uždirbti didesnį DU (pvz., bus vykdomi kokybiškesni tyrimai, aplikuojama į daugiau tarptautinių projektų, pritraukiamas didesnis finansavimas, taigi, galės kilti ir atlyginimai)</t>
  </si>
  <si>
    <t>Daroma prielaida, kad 45 proc. vaikų dėl gautos švietimo pagalbos įgis profesinį išsilavinimą, o dar 40 proc. - aukštąjį išsilavinimą (atitinka numatytus 85 proc. vaikų, kuriems švietimo pagalba bus teikiama daugiau nei 3 mėn.). Tyrimais įrodyta, kad anksti gavę pagalbą, vaikai rečiau per anksti pasitraukia iš švietimo sistemos: https://www.sciencedaily.com/releases/2018/10/181003090401.htm ; https://journals.sagepub.com/doi/full/10.1177/2332858418799085</t>
  </si>
  <si>
    <t>Daroma prielaida, kad dėl naujų sukurtų ugdymo vietų padidės ugdymo paslaugų prieinamumas, o vaikams laikant darželį dalis tėvų sugrįš į darbo rinką arba išvengs išlaidų auklėms/privatiems darželiams</t>
  </si>
  <si>
    <t>Prielaidos dėl tiesioginės ir netiesioginės naudos komponentų ir papildomų naudos įverčių</t>
  </si>
  <si>
    <t>Įgiję papildomų kompetencijų ar dalyko kvalifikaciją, mokytojai ir kiti švietimo specialistai pajus DU augimą (pvz., mokytojai, įgiję kompetencijas naujo dalyko mokymui, galės dirbti didesniu etatu, nei dirbo iki šiol)</t>
  </si>
  <si>
    <t>Daroma prielaida, kad asmenys, kurie priemonės veiklose įgis kvalifikaciją, pajaus DU padidėjimą ateityje</t>
  </si>
  <si>
    <t>Tėvų, kurių vaikai pradėjo lankyti darželį, įsidarbinimo nauda</t>
  </si>
  <si>
    <t>Daroma prielaida, kad priemonės įgyvendinimo metu įgytų kompetencijų ir įgūdžių dėka dalyviai prisijungs prie darbo rinkos arba gaus didesnį DU negu prieš mokymus. DU padidėjimas prilyginamas profesinio mokymo dėka pasiektam DU padidėjimui</t>
  </si>
  <si>
    <t>Daroma prielaida, kad vaikui gavus švietimo pagalbą, po vidutiniškai 8 m. pasireikštų jos nauda dėl įgytų kvalifikacijų (profesinio mokymo arba bakalauro), ir tai prisidėtų prie didesnių pajamų. Tyrimais įrodyta, kad anksti gavę pagalbą, vaikai rečiau per anksti pasitraukia iš švietimo sistemos: https://www.sciencedaily.com/releases/2018/10/181003090401.htm ; https://journals.sagepub.com/doi/full/10.1177/2332858418799085</t>
  </si>
  <si>
    <t>Daroma prielaida, kad bus įgyvendinti priemonės siekiai, ir parengtos projektų publikacijos, sukurti MTEP veiklos prouktai bei pateiktos patentų paraiškos bus sėkmingos bei kur socialię naudą</t>
  </si>
  <si>
    <t>Daroma prielaida, kad MTEP veiklos produkto socialinė nauda atitiks mokslinės publikacijos parengimo socialinę naudą</t>
  </si>
  <si>
    <t>Tyrėjo mėnesinio DU augimo prognozėje taikomas procentas, apskaičiuotas remiantis CPVA naudos įverčių augimu tuo pačiu laikotarpiu</t>
  </si>
  <si>
    <t>Daroma prielaida, kad asmenys, sudalyvavę ESF+ mokymuose, dėl naujų kompetencijų pasieks DU padidėjimą</t>
  </si>
  <si>
    <t>MTEP naudos skaičiuojamos 30 m. laikotarpiui</t>
  </si>
  <si>
    <t>Įkurtos atžalinės įmonės (suma)</t>
  </si>
  <si>
    <t>Remiamų projektų publikacijų socialinė nauda (GDV, diskontuota)</t>
  </si>
  <si>
    <t>Pateiktų patentų paraiškų socialinė nauda (GDV, diskontuota)</t>
  </si>
  <si>
    <t>Asmenų, kurie pagerino įgūdžius per praktinę veiklą, socialinė nauda (GDV, diskontuota)</t>
  </si>
  <si>
    <t>Parengtų publikacijų citavimo socialinė nauda (GDV, diskontuota)</t>
  </si>
  <si>
    <t>Atžalinių įmonių socialinė nauda (GDV, diskontuota)</t>
  </si>
  <si>
    <t>Pažangiųjų technologijų prekių eksporto augimo ekonominė nauda (GDV, diskontuota)</t>
  </si>
  <si>
    <t>MTEP veiklos produktų socialinė nauda (GDV, diskontuota)</t>
  </si>
  <si>
    <t>Suminė ekonominė nauda (GDV, diskontuota) [5]+[6]</t>
  </si>
  <si>
    <t>Prielaidos</t>
  </si>
  <si>
    <t>Santrumpos</t>
  </si>
  <si>
    <t>GDV</t>
  </si>
  <si>
    <t>Grynoji dabartinė vertė</t>
  </si>
  <si>
    <t>MTEP</t>
  </si>
  <si>
    <t>Moksliniai tyrimai ir eksperimentinė plėtra</t>
  </si>
  <si>
    <t>MSI</t>
  </si>
  <si>
    <t>Mokslo ir studijų institucijos</t>
  </si>
  <si>
    <t>TUI</t>
  </si>
  <si>
    <t>Tiesioginės užsienio investicijos</t>
  </si>
  <si>
    <t>CPVA</t>
  </si>
  <si>
    <t>Centrinė projektų valdymo agentūra</t>
  </si>
  <si>
    <t xml:space="preserve">Suminės sąnaudos (GDV, diskontuota) </t>
  </si>
  <si>
    <t>Suminė ekonominė nauda (GDV, diskontuota) [5]+[6] | Alternatyva A</t>
  </si>
  <si>
    <t>Suminė ekonominė nauda (GDV, diskontuota) [5]+[6] | Alternatyva B</t>
  </si>
  <si>
    <t>Suminė ekonominė nauda (GDV, diskontuota) [5]+[6] | Alternatyva C</t>
  </si>
  <si>
    <t>Suminės sąnaudos (GDV, diskontuota) | Alternatyva A</t>
  </si>
  <si>
    <t xml:space="preserve">Suminės sąnaudos (GDV, diskontuota) | Alternatyva B </t>
  </si>
  <si>
    <t xml:space="preserve">Suminė ekonominė nauda (GDV, diskontuota) [5]+[6] </t>
  </si>
  <si>
    <t>Suminė ekonominė nauda (GDV, diskontuota) [5]+[6]  | Alternatyva A</t>
  </si>
  <si>
    <t>Suminė ekonominė nauda (GDV, diskontuota) [5]+[6]  | Alternatyva B</t>
  </si>
  <si>
    <t>Suminė ekonominė nauda (GDV, diskontuota) [5]+[6]  | Alternatyva C</t>
  </si>
  <si>
    <t>Suminės sąnaudos (GDV, diskontuota)</t>
  </si>
  <si>
    <t>Suminės sąnaudos (GDV, diskontuota) | Alternatyva C</t>
  </si>
  <si>
    <t>Suminės sąnaudos (GDV, diskontuota) | Alternatyva B</t>
  </si>
  <si>
    <t>Ataskaitoje daroma prielaida, kad B alternatyvos ENIS nesikeistų nuo alternatyvos A ENIS</t>
  </si>
  <si>
    <t>Suminė ekonominė nauda (GDV, diskontuota) [5]+[6] | Alternatyvos A ir B</t>
  </si>
  <si>
    <t>Suminės sąnaudos (grynoji dabartinė vertė (GDV), diskontuota) | Alternatyvos A ir B</t>
  </si>
  <si>
    <t>Suminės sąnaudos (grynoji dabartinė vertė (GDV), diskontuota) | Alternatyva C</t>
  </si>
  <si>
    <t>Socialinė nauda (remiantis CPVA metodika) | Alternatyva A</t>
  </si>
  <si>
    <t>Suminės ekonominės naudos ir suminių kaštų GDV skirtumas | Alternatyvos A ir C</t>
  </si>
  <si>
    <t>ENIS | Alternatyvos A ir C:</t>
  </si>
  <si>
    <t>Suminė ekonominė nauda (GDV, diskontuota) [5]+[6] | Alternatyvos A ir C</t>
  </si>
  <si>
    <t>Suminės sąnaudos (GDV, diskontuota) | Alternatyvos A ir C</t>
  </si>
  <si>
    <t>Ataskaitoje daroma prielaida, kad alternatyvų A ir C ENIS sutaptų</t>
  </si>
  <si>
    <t>Ataskaitoje daroma prielaida, kad A ir B alternatyvų ENIS sutaptų</t>
  </si>
  <si>
    <t>Daroma prielaida, kad alternatyvos B atveju 50 proc. mokytojų nesudalyvautų kompetencijų tobulinimo ir papildomų kvalifikacijų įgijimo veiklose. Bet grąžinamosios subsidijos taikymas leistų 20 proc. sumažinti priemonės įgyvendinimo kaštus</t>
  </si>
  <si>
    <t>Ataskaitoje daroma prielaida, kad A ir B alternatyvų ENIS sutampa</t>
  </si>
  <si>
    <t>Ataskaitoje daroma prielaida, kad alternatyvų A ir B ENIS sutaptų</t>
  </si>
  <si>
    <t>Ataskaitoje daroma prielaida, kad alternatyvų A ir B ENIS rodikliai sutaptų</t>
  </si>
  <si>
    <t>Ataskaitoje daroma prielaida, kad alternatyvų A ir C ENIS rodikliai sutaptų</t>
  </si>
  <si>
    <t>Daroma prielaida, kad išaugtų priemonės kaštai palyginus su B alternatyva</t>
  </si>
  <si>
    <t>Ataskaitoje daroma prielaida, kad alternatyvų A ir B ENIS rodikliai sutampa</t>
  </si>
  <si>
    <t>Tiesioginės socialinės naudos komponentai atrenkami remiantis FM patvirtintais veiksmų programos metodologiniuose dokumentuose numatytais rodikliais ir įverčiais</t>
  </si>
  <si>
    <t>"Kietosios infrastruktūros" (pvz., įrengiant darželių vietas) naudos laikotarpis siekia 15 m. (remiamasi https://www.cpva.lt/metodines-pagalbos-centras/d.u.k./767 CPVA atsakymu, jog vidaus remonto darbams laikotarpis dažniausiai yra iki 15 m.)</t>
  </si>
  <si>
    <t>Parengus publikacijas sudaroma galimybė jas cituoti, taigi, visais atvejais, kai viena iš tiesioginių socialinių naudų yra parengtos publikacijos, vertinama ir publikacijų citatų potenciali nauda. Prielaida dėl citacijų skaičiaus remiasi įvairiais šaltiniais (https://www.researchgate.net/figure/Mean-number-of-citations-per-paper-mean-citation-impact-by-journal-ranking-and_tbl3_257662870; https://www.sciencedirect.com/science/article/pii/S2405844016322800; https://lucbeaulieu.com/2015/11/19/how-many-citations-are-actually-a-lot-of-citations/)</t>
  </si>
  <si>
    <t>Patentų paraiškų socialinė nauda (GDV, diskontuota) | Alternatyva A</t>
  </si>
  <si>
    <t>Patentų paraiškos  | Alternatyva A</t>
  </si>
  <si>
    <t>Patentų paraiškos  | Alternatyva C</t>
  </si>
  <si>
    <t>Patentų paraiškų socialinė nauda (GDV, diskontuota) | Alternatyva C</t>
  </si>
  <si>
    <t>Pelną generuojančios paramą gavusios įmonės (suma) | Alternatyva A</t>
  </si>
  <si>
    <t>Pelną generuojančios paramą gavusios įmonės (suma) | Alternatyva C</t>
  </si>
  <si>
    <t>Sukurtos darbo vietos (suma) (metiniai visos darbo dienos ekvivalentai)</t>
  </si>
  <si>
    <t>Kompetencijas patobulinę darbuotojai, jaučiantys kompetencijų tobulinimo naudą (suma)</t>
  </si>
  <si>
    <t>Pelną generuojančios paramą gavusios įmonės (suma)</t>
  </si>
  <si>
    <t>Vidutinis atlyginimas (statistikos departamento duomenys ir konsultanto prognozės)</t>
  </si>
  <si>
    <t>Į užsienį tobulinti profesinių žinių išvykę tyrėjai, jaučiantys patobulintų kompetencijų naudą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</si>
</sst>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7" x14ac:knownFonts="1">
    <font>
      <sz val="11"/>
      <color theme="1"/>
      <name val="Calibri"/>
      <family val="2"/>
      <scheme val="minor"/>
    </font>
    <font>
      <b/>
      <sz val="11"/>
      <color rgb="FFFFFFFF"/>
      <name val="Calibri"/>
      <family val="2"/>
      <scheme val="minor"/>
    </font>
    <font>
      <sz val="1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sz val="8"/>
      <name val="Calibri"/>
      <family val="2"/>
      <scheme val="minor"/>
    </font>
  </fonts>
  <fills count="5">
    <fill>
      <patternFill patternType="none"/>
    </fill>
    <fill>
      <patternFill patternType="gray125"/>
    </fill>
    <fill>
      <patternFill patternType="solid">
        <fgColor rgb="FF124566"/>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s>
  <cellStyleXfs count="2">
    <xf numFmtId="0" fontId="0" fillId="0" borderId="0"/>
    <xf numFmtId="9" fontId="5" fillId="0" borderId="0" applyFont="0" applyFill="0" applyBorder="0" applyAlignment="0" applyProtection="0"/>
  </cellStyleXfs>
  <cellXfs count="54">
    <xf numFmtId="0" fontId="0" fillId="0" borderId="0" xfId="0"/>
    <xf numFmtId="0" fontId="0" fillId="0" borderId="0" xfId="0" applyAlignment="1">
      <alignment wrapText="1"/>
    </xf>
    <xf numFmtId="0" fontId="1" fillId="2" borderId="0" xfId="0" applyFont="1" applyFill="1" applyBorder="1" applyAlignment="1">
      <alignment vertical="center" wrapText="1"/>
    </xf>
    <xf numFmtId="3" fontId="0" fillId="0" borderId="0" xfId="0" applyNumberFormat="1"/>
    <xf numFmtId="3" fontId="3" fillId="0" borderId="0" xfId="0" applyNumberFormat="1" applyFont="1"/>
    <xf numFmtId="9" fontId="0" fillId="0" borderId="0" xfId="0" applyNumberFormat="1"/>
    <xf numFmtId="3" fontId="2" fillId="0" borderId="0" xfId="0" applyNumberFormat="1" applyFont="1" applyFill="1" applyBorder="1" applyAlignment="1">
      <alignment wrapText="1"/>
    </xf>
    <xf numFmtId="0" fontId="0" fillId="0" borderId="0" xfId="0" applyFill="1"/>
    <xf numFmtId="0" fontId="4" fillId="0" borderId="0" xfId="0" applyFont="1"/>
    <xf numFmtId="164" fontId="3" fillId="0" borderId="0" xfId="0" applyNumberFormat="1" applyFont="1"/>
    <xf numFmtId="0" fontId="0" fillId="0" borderId="0" xfId="0" applyAlignment="1">
      <alignment horizontal="left"/>
    </xf>
    <xf numFmtId="165" fontId="0" fillId="0" borderId="0" xfId="0" applyNumberFormat="1"/>
    <xf numFmtId="0" fontId="0" fillId="0" borderId="0" xfId="0" applyAlignment="1">
      <alignment horizontal="left" wrapText="1"/>
    </xf>
    <xf numFmtId="0" fontId="0" fillId="0" borderId="0" xfId="0" applyAlignment="1">
      <alignment horizontal="left" vertical="top" wrapText="1"/>
    </xf>
    <xf numFmtId="0" fontId="1" fillId="2" borderId="0"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3" fontId="0" fillId="3" borderId="0" xfId="0" applyNumberFormat="1" applyFill="1"/>
    <xf numFmtId="3" fontId="0" fillId="4" borderId="0" xfId="0" applyNumberFormat="1" applyFill="1"/>
    <xf numFmtId="0" fontId="0" fillId="3" borderId="0" xfId="0" applyFill="1"/>
    <xf numFmtId="3" fontId="3" fillId="4" borderId="0" xfId="0" applyNumberFormat="1" applyFont="1" applyFill="1"/>
    <xf numFmtId="164" fontId="3" fillId="4" borderId="0" xfId="0" applyNumberFormat="1" applyFont="1" applyFill="1"/>
    <xf numFmtId="0" fontId="0" fillId="4" borderId="0" xfId="0" applyFill="1"/>
    <xf numFmtId="3" fontId="1" fillId="2" borderId="0" xfId="0" applyNumberFormat="1" applyFont="1" applyFill="1" applyBorder="1" applyAlignment="1">
      <alignment vertical="center" wrapText="1"/>
    </xf>
    <xf numFmtId="4" fontId="3" fillId="4" borderId="0" xfId="0" applyNumberFormat="1" applyFont="1" applyFill="1"/>
    <xf numFmtId="9" fontId="0" fillId="3" borderId="0" xfId="0" applyNumberFormat="1" applyFill="1"/>
    <xf numFmtId="3" fontId="0" fillId="3" borderId="0" xfId="0" applyNumberFormat="1" applyFill="1" applyAlignment="1">
      <alignment horizontal="right"/>
    </xf>
    <xf numFmtId="3" fontId="0" fillId="0" borderId="0" xfId="0" applyNumberFormat="1" applyFill="1"/>
    <xf numFmtId="0" fontId="2" fillId="0" borderId="0" xfId="0" applyFont="1" applyAlignment="1">
      <alignment wrapText="1"/>
    </xf>
    <xf numFmtId="166" fontId="0" fillId="3" borderId="0" xfId="0" applyNumberFormat="1" applyFill="1"/>
    <xf numFmtId="3" fontId="2" fillId="3" borderId="0" xfId="0" applyNumberFormat="1" applyFont="1" applyFill="1"/>
    <xf numFmtId="0" fontId="4" fillId="3" borderId="0" xfId="0" applyFont="1" applyFill="1"/>
    <xf numFmtId="9" fontId="0" fillId="3" borderId="0" xfId="1" applyFont="1" applyFill="1"/>
    <xf numFmtId="164" fontId="3" fillId="4" borderId="0" xfId="0" applyNumberFormat="1" applyFont="1" applyFill="1" applyAlignment="1">
      <alignment horizontal="right"/>
    </xf>
    <xf numFmtId="3" fontId="2" fillId="3" borderId="0" xfId="0" applyNumberFormat="1" applyFont="1" applyFill="1" applyBorder="1" applyAlignment="1">
      <alignment wrapText="1"/>
    </xf>
    <xf numFmtId="167" fontId="0" fillId="0" borderId="0" xfId="0" applyNumberFormat="1"/>
    <xf numFmtId="0" fontId="1" fillId="2" borderId="0" xfId="0" applyFont="1" applyFill="1" applyBorder="1" applyAlignment="1">
      <alignment vertical="center"/>
    </xf>
    <xf numFmtId="0" fontId="0" fillId="0" borderId="0" xfId="0" applyAlignment="1"/>
    <xf numFmtId="3" fontId="0" fillId="3" borderId="0" xfId="0" applyNumberFormat="1" applyFont="1" applyFill="1"/>
    <xf numFmtId="164" fontId="0" fillId="0" borderId="0" xfId="0" applyNumberFormat="1" applyFont="1"/>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0" fillId="0" borderId="0" xfId="0" applyAlignment="1">
      <alignment horizontal="left" vertical="top" wrapText="1"/>
    </xf>
    <xf numFmtId="0" fontId="1" fillId="2" borderId="1" xfId="0" applyFont="1" applyFill="1" applyBorder="1" applyAlignment="1">
      <alignment horizontal="right" vertical="center" wrapText="1"/>
    </xf>
    <xf numFmtId="0" fontId="0" fillId="0" borderId="0" xfId="0" applyAlignment="1">
      <alignment horizontal="left"/>
    </xf>
    <xf numFmtId="0" fontId="0" fillId="0" borderId="0" xfId="0" applyAlignment="1">
      <alignment horizontal="left" wrapText="1"/>
    </xf>
    <xf numFmtId="0" fontId="1" fillId="2" borderId="0" xfId="0" applyFont="1" applyFill="1" applyBorder="1" applyAlignment="1">
      <alignment horizontal="center" vertical="center" wrapText="1"/>
    </xf>
    <xf numFmtId="0" fontId="0" fillId="0" borderId="0" xfId="0" applyAlignment="1">
      <alignmen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mart Continent" id="{EC2893D5-CC4F-4ACC-9968-3C464E486AA7}" userId="Smart Continent"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1-07-07T12:12:42.16" personId="{EC2893D5-CC4F-4ACC-9968-3C464E486AA7}" id="{CD59D4F0-1E9C-494E-B20C-9317167A538B}">
    <text>Daroma prielaida, kad dėl praktinės veiklos pagerintų įgūdžių dėka juntamas DU padidėjimas atitiktų DU padidėjimą dėl magistro diplomo</text>
  </threadedComment>
</ThreadedComments>
</file>

<file path=xl/threadedComments/threadedComment2.xml><?xml version="1.0" encoding="utf-8"?>
<ThreadedComments xmlns="http://schemas.microsoft.com/office/spreadsheetml/2018/threadedcomments" xmlns:x="http://schemas.openxmlformats.org/spreadsheetml/2006/main">
  <threadedComment ref="B35" dT="2021-07-08T14:13:25.74" personId="{EC2893D5-CC4F-4ACC-9968-3C464E486AA7}" id="{12FA5E56-3F14-4C86-AF73-B3CD3E18FBB5}">
    <text>Daroma prielaida, kad užsienyje tobulintos kompetencijos leistų gauti didesnį DU, efektas atitiktų DU padidėjimą dėl magistro laipsnio įgijimo</text>
  </threadedComment>
</ThreadedComments>
</file>

<file path=xl/threadedComments/threadedComment3.xml><?xml version="1.0" encoding="utf-8"?>
<ThreadedComments xmlns="http://schemas.microsoft.com/office/spreadsheetml/2018/threadedcomments" xmlns:x="http://schemas.openxmlformats.org/spreadsheetml/2006/main">
  <threadedComment ref="B35" dT="2021-07-08T14:13:25.74" personId="{EC2893D5-CC4F-4ACC-9968-3C464E486AA7}" id="{2A132B8E-003B-4B5A-8CB5-7C96584146CA}">
    <text>Daroma prielaida, kad užsienyje tobulintos kompetencijos leistų gauti didesnį DU, efektas atitiktų DU padidėjimą dėl magistro laipsnio įgijimo</text>
  </threadedComment>
</ThreadedComments>
</file>

<file path=xl/threadedComments/threadedComment4.xml><?xml version="1.0" encoding="utf-8"?>
<ThreadedComments xmlns="http://schemas.microsoft.com/office/spreadsheetml/2018/threadedcomments" xmlns:x="http://schemas.openxmlformats.org/spreadsheetml/2006/main">
  <threadedComment ref="B20" dT="2021-07-08T08:51:08.84" personId="{EC2893D5-CC4F-4ACC-9968-3C464E486AA7}" id="{357F420E-72FF-489A-AE24-A1A06C10DD9B}">
    <text>Daroma prielaida, kad naujų kompetencijų dėka pasiektas DU padidėjimas atitiks DU padidėjimą, kurį lemia profesinis mokymas</text>
  </threadedComment>
</ThreadedComments>
</file>

<file path=xl/threadedComments/threadedComment5.xml><?xml version="1.0" encoding="utf-8"?>
<ThreadedComments xmlns="http://schemas.microsoft.com/office/spreadsheetml/2018/threadedcomments" xmlns:x="http://schemas.openxmlformats.org/spreadsheetml/2006/main">
  <threadedComment ref="B22" dT="2021-07-08T08:51:08.84" personId="{EC2893D5-CC4F-4ACC-9968-3C464E486AA7}" id="{A4A2D78A-2F3B-4F97-AB6A-6A77488BE974}">
    <text>Daroma prielaida, kad naujų kompetencijų dėka pasiektas DU padidėjimas atitiks DU padidėjimą, kurį lemia profesinis mokymas</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0B0C-FF1F-4E34-89FA-E9918CACD899}">
  <sheetPr codeName="Sheet1"/>
  <dimension ref="A1:AM13"/>
  <sheetViews>
    <sheetView workbookViewId="0">
      <selection activeCell="B4" sqref="B4"/>
    </sheetView>
  </sheetViews>
  <sheetFormatPr defaultRowHeight="15" x14ac:dyDescent="0.25"/>
  <cols>
    <col min="1" max="1" width="7.140625" customWidth="1"/>
    <col min="2" max="2" width="105.85546875" customWidth="1"/>
    <col min="3" max="3" width="18.5703125" customWidth="1"/>
  </cols>
  <sheetData>
    <row r="1" spans="1:39" x14ac:dyDescent="0.25">
      <c r="A1" s="2"/>
      <c r="B1" s="2" t="s">
        <v>297</v>
      </c>
      <c r="C1" s="2"/>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row>
    <row r="2" spans="1:39" x14ac:dyDescent="0.25">
      <c r="A2">
        <v>1</v>
      </c>
      <c r="B2" t="s">
        <v>66</v>
      </c>
    </row>
    <row r="3" spans="1:39" x14ac:dyDescent="0.25">
      <c r="A3">
        <v>2</v>
      </c>
      <c r="B3" t="s">
        <v>67</v>
      </c>
    </row>
    <row r="4" spans="1:39" x14ac:dyDescent="0.25">
      <c r="A4">
        <v>3</v>
      </c>
      <c r="B4" t="s">
        <v>341</v>
      </c>
    </row>
    <row r="5" spans="1:39" x14ac:dyDescent="0.25">
      <c r="A5">
        <v>4</v>
      </c>
      <c r="B5" t="s">
        <v>287</v>
      </c>
    </row>
    <row r="6" spans="1:39" x14ac:dyDescent="0.25">
      <c r="A6">
        <v>5</v>
      </c>
      <c r="B6" t="s">
        <v>340</v>
      </c>
    </row>
    <row r="8" spans="1:39" x14ac:dyDescent="0.25">
      <c r="A8" s="2"/>
      <c r="B8" s="2" t="s">
        <v>298</v>
      </c>
      <c r="C8" s="2"/>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row>
    <row r="9" spans="1:39" x14ac:dyDescent="0.25">
      <c r="A9" t="s">
        <v>307</v>
      </c>
      <c r="B9" t="s">
        <v>308</v>
      </c>
    </row>
    <row r="10" spans="1:39" x14ac:dyDescent="0.25">
      <c r="A10" t="s">
        <v>299</v>
      </c>
      <c r="B10" t="s">
        <v>300</v>
      </c>
    </row>
    <row r="11" spans="1:39" x14ac:dyDescent="0.25">
      <c r="A11" t="s">
        <v>301</v>
      </c>
      <c r="B11" t="s">
        <v>302</v>
      </c>
    </row>
    <row r="12" spans="1:39" x14ac:dyDescent="0.25">
      <c r="A12" t="s">
        <v>303</v>
      </c>
      <c r="B12" t="s">
        <v>304</v>
      </c>
    </row>
    <row r="13" spans="1:39" x14ac:dyDescent="0.25">
      <c r="A13" t="s">
        <v>305</v>
      </c>
      <c r="B13" t="s">
        <v>306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9B011-3BF9-4A22-B8D9-BDA1E1D322E1}">
  <sheetPr codeName="Sheet10">
    <tabColor theme="9" tint="0.79998168889431442"/>
  </sheetPr>
  <dimension ref="A1:U28"/>
  <sheetViews>
    <sheetView topLeftCell="B1" workbookViewId="0">
      <selection activeCell="B10" sqref="A10:B12"/>
    </sheetView>
  </sheetViews>
  <sheetFormatPr defaultRowHeight="15" x14ac:dyDescent="0.25"/>
  <cols>
    <col min="2" max="2" width="72.140625" customWidth="1"/>
    <col min="3" max="3" width="11.5703125" customWidth="1"/>
    <col min="4" max="4" width="11.7109375" customWidth="1"/>
    <col min="5" max="5" width="12.7109375" customWidth="1"/>
    <col min="6" max="8" width="8.85546875" bestFit="1" customWidth="1"/>
    <col min="9" max="20" width="9.85546875" bestFit="1" customWidth="1"/>
    <col min="21" max="21" width="8.85546875" bestFit="1" customWidth="1"/>
  </cols>
  <sheetData>
    <row r="1" spans="1:21" x14ac:dyDescent="0.25">
      <c r="A1" s="42" t="s">
        <v>117</v>
      </c>
      <c r="B1" s="15" t="s">
        <v>104</v>
      </c>
      <c r="C1" s="15" t="s">
        <v>118</v>
      </c>
      <c r="D1" s="15"/>
      <c r="E1" s="42" t="s">
        <v>5</v>
      </c>
      <c r="F1" s="42"/>
      <c r="G1" s="42"/>
      <c r="H1" s="42"/>
      <c r="I1" s="42"/>
      <c r="J1" s="42"/>
      <c r="K1" s="42"/>
      <c r="L1" s="42"/>
      <c r="M1" s="42"/>
      <c r="N1" s="42"/>
      <c r="O1" s="42"/>
      <c r="P1" s="42"/>
      <c r="Q1" s="42"/>
      <c r="R1" s="42"/>
      <c r="S1" s="42"/>
      <c r="T1" s="42"/>
      <c r="U1" s="42"/>
    </row>
    <row r="2" spans="1:2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21"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21" x14ac:dyDescent="0.25">
      <c r="A4" t="s">
        <v>230</v>
      </c>
      <c r="B4" t="s">
        <v>313</v>
      </c>
      <c r="C4" t="s">
        <v>120</v>
      </c>
      <c r="D4" s="18">
        <f>E4+NPV(0.05,F4:L4)</f>
        <v>16386451.007166862</v>
      </c>
      <c r="E4" s="18">
        <f>19316887/8</f>
        <v>2414610.875</v>
      </c>
      <c r="F4" s="18">
        <f t="shared" ref="F4:L4" si="0">19316887/8</f>
        <v>2414610.875</v>
      </c>
      <c r="G4" s="18">
        <f t="shared" si="0"/>
        <v>2414610.875</v>
      </c>
      <c r="H4" s="18">
        <f t="shared" si="0"/>
        <v>2414610.875</v>
      </c>
      <c r="I4" s="18">
        <f t="shared" si="0"/>
        <v>2414610.875</v>
      </c>
      <c r="J4" s="18">
        <f t="shared" si="0"/>
        <v>2414610.875</v>
      </c>
      <c r="K4" s="18">
        <f t="shared" si="0"/>
        <v>2414610.875</v>
      </c>
      <c r="L4" s="18">
        <f t="shared" si="0"/>
        <v>2414610.875</v>
      </c>
      <c r="M4" s="22"/>
      <c r="N4" s="22"/>
      <c r="O4" s="22"/>
      <c r="P4" s="22"/>
      <c r="Q4" s="22"/>
      <c r="R4" s="22"/>
      <c r="S4" s="22"/>
      <c r="T4" s="22"/>
      <c r="U4" s="22"/>
    </row>
    <row r="5" spans="1:21" x14ac:dyDescent="0.25">
      <c r="A5" t="s">
        <v>204</v>
      </c>
      <c r="B5" t="s">
        <v>321</v>
      </c>
      <c r="D5" s="18"/>
      <c r="E5" s="18"/>
      <c r="F5" s="18"/>
      <c r="G5" s="18"/>
      <c r="H5" s="18"/>
      <c r="I5" s="18"/>
      <c r="J5" s="18"/>
      <c r="K5" s="18"/>
      <c r="L5" s="18"/>
      <c r="M5" s="22"/>
      <c r="N5" s="22"/>
      <c r="O5" s="22"/>
      <c r="P5" s="22"/>
      <c r="Q5" s="22"/>
      <c r="R5" s="22"/>
      <c r="S5" s="22"/>
      <c r="T5" s="22"/>
      <c r="U5" s="22"/>
    </row>
    <row r="6" spans="1:21" x14ac:dyDescent="0.25">
      <c r="A6" t="s">
        <v>250</v>
      </c>
      <c r="B6" t="s">
        <v>320</v>
      </c>
      <c r="C6" t="s">
        <v>120</v>
      </c>
      <c r="D6" s="18">
        <f>E6+NPV(0.05,F6:L6)</f>
        <v>16304518.752131032</v>
      </c>
      <c r="E6" s="18">
        <f>19316887/8*0.995</f>
        <v>2402537.8206250002</v>
      </c>
      <c r="F6" s="18">
        <f t="shared" ref="F6:L6" si="1">19316887/8*0.995</f>
        <v>2402537.8206250002</v>
      </c>
      <c r="G6" s="18">
        <f t="shared" si="1"/>
        <v>2402537.8206250002</v>
      </c>
      <c r="H6" s="18">
        <f t="shared" si="1"/>
        <v>2402537.8206250002</v>
      </c>
      <c r="I6" s="18">
        <f t="shared" si="1"/>
        <v>2402537.8206250002</v>
      </c>
      <c r="J6" s="18">
        <f t="shared" si="1"/>
        <v>2402537.8206250002</v>
      </c>
      <c r="K6" s="18">
        <f t="shared" si="1"/>
        <v>2402537.8206250002</v>
      </c>
      <c r="L6" s="18">
        <f t="shared" si="1"/>
        <v>2402537.8206250002</v>
      </c>
      <c r="M6" s="22"/>
      <c r="N6" s="22"/>
      <c r="O6" s="22"/>
      <c r="P6" s="22"/>
      <c r="Q6" s="22"/>
      <c r="R6" s="22"/>
      <c r="S6" s="22"/>
      <c r="T6" s="22"/>
      <c r="U6" s="22"/>
    </row>
    <row r="7" spans="1:21" x14ac:dyDescent="0.25">
      <c r="A7" t="s">
        <v>116</v>
      </c>
      <c r="B7" t="s">
        <v>296</v>
      </c>
      <c r="C7" t="s">
        <v>120</v>
      </c>
      <c r="D7" s="18">
        <f>SUM(D14:D15)</f>
        <v>239868558.83488002</v>
      </c>
      <c r="E7" s="18">
        <f t="shared" ref="E7:U7" si="2">SUM(E14:E15)</f>
        <v>0</v>
      </c>
      <c r="F7" s="18">
        <f t="shared" si="2"/>
        <v>2121068.8484999998</v>
      </c>
      <c r="G7" s="18">
        <f t="shared" si="2"/>
        <v>4365333.3780000005</v>
      </c>
      <c r="H7" s="18">
        <f t="shared" si="2"/>
        <v>9571932.1151999999</v>
      </c>
      <c r="I7" s="18">
        <f t="shared" si="2"/>
        <v>15196383.234900003</v>
      </c>
      <c r="J7" s="18">
        <f t="shared" si="2"/>
        <v>21221829.743400004</v>
      </c>
      <c r="K7" s="18">
        <f t="shared" si="2"/>
        <v>27670153.560300004</v>
      </c>
      <c r="L7" s="18">
        <f t="shared" si="2"/>
        <v>34564313.160000004</v>
      </c>
      <c r="M7" s="18">
        <f t="shared" si="2"/>
        <v>35836249.410000004</v>
      </c>
      <c r="N7" s="18">
        <f t="shared" si="2"/>
        <v>37155008.969999991</v>
      </c>
      <c r="O7" s="18">
        <f t="shared" si="2"/>
        <v>38522277.719999991</v>
      </c>
      <c r="P7" s="18">
        <f t="shared" si="2"/>
        <v>36944372.313000001</v>
      </c>
      <c r="Q7" s="18">
        <f t="shared" si="2"/>
        <v>35198166.910499997</v>
      </c>
      <c r="R7" s="18">
        <f t="shared" si="2"/>
        <v>29194741.205999997</v>
      </c>
      <c r="S7" s="18">
        <f t="shared" si="2"/>
        <v>22701810.208499994</v>
      </c>
      <c r="T7" s="18">
        <f t="shared" si="2"/>
        <v>15691478.223599996</v>
      </c>
      <c r="U7" s="18">
        <f t="shared" si="2"/>
        <v>8134454.0897999946</v>
      </c>
    </row>
    <row r="9" spans="1:21" ht="17.25" customHeight="1" x14ac:dyDescent="0.25">
      <c r="A9" t="s">
        <v>121</v>
      </c>
      <c r="B9" t="s">
        <v>205</v>
      </c>
      <c r="C9" t="s">
        <v>120</v>
      </c>
      <c r="D9" s="20">
        <f>D7-D6</f>
        <v>223564040.08274898</v>
      </c>
    </row>
    <row r="10" spans="1:21" ht="17.25" customHeight="1" x14ac:dyDescent="0.25">
      <c r="A10" t="s">
        <v>244</v>
      </c>
      <c r="B10" t="s">
        <v>247</v>
      </c>
      <c r="C10" t="s">
        <v>126</v>
      </c>
      <c r="D10" s="21">
        <f>D7/D4</f>
        <v>14.638225124523295</v>
      </c>
    </row>
    <row r="11" spans="1:21" ht="17.25" customHeight="1" x14ac:dyDescent="0.25">
      <c r="A11" t="s">
        <v>245</v>
      </c>
      <c r="B11" t="s">
        <v>248</v>
      </c>
      <c r="C11" t="s">
        <v>126</v>
      </c>
      <c r="D11" s="21">
        <f>D10</f>
        <v>14.638225124523295</v>
      </c>
      <c r="E11" t="s">
        <v>334</v>
      </c>
    </row>
    <row r="12" spans="1:21" ht="17.25" customHeight="1" x14ac:dyDescent="0.25">
      <c r="A12" t="s">
        <v>246</v>
      </c>
      <c r="B12" t="s">
        <v>249</v>
      </c>
      <c r="C12" t="s">
        <v>126</v>
      </c>
      <c r="D12" s="21">
        <f>D7/D6</f>
        <v>14.711784044747027</v>
      </c>
    </row>
    <row r="14" spans="1:21" ht="14.25" customHeight="1" x14ac:dyDescent="0.25">
      <c r="A14" t="s">
        <v>122</v>
      </c>
      <c r="B14" t="s">
        <v>124</v>
      </c>
      <c r="C14" t="s">
        <v>120</v>
      </c>
      <c r="D14" s="18">
        <f>SUM(E14:U14)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row>
    <row r="15" spans="1:21" x14ac:dyDescent="0.25">
      <c r="A15" t="s">
        <v>123</v>
      </c>
      <c r="B15" t="s">
        <v>125</v>
      </c>
      <c r="C15" t="s">
        <v>120</v>
      </c>
      <c r="D15" s="18">
        <f>SUM(D17,D26)</f>
        <v>239868558.83488002</v>
      </c>
      <c r="E15" s="18">
        <f t="shared" ref="E15:U15" si="3">SUM(E17,E26)</f>
        <v>0</v>
      </c>
      <c r="F15" s="18">
        <f t="shared" si="3"/>
        <v>2121068.8484999998</v>
      </c>
      <c r="G15" s="18">
        <f t="shared" si="3"/>
        <v>4365333.3780000005</v>
      </c>
      <c r="H15" s="18">
        <f t="shared" si="3"/>
        <v>9571932.1151999999</v>
      </c>
      <c r="I15" s="18">
        <f t="shared" si="3"/>
        <v>15196383.234900003</v>
      </c>
      <c r="J15" s="18">
        <f t="shared" si="3"/>
        <v>21221829.743400004</v>
      </c>
      <c r="K15" s="18">
        <f t="shared" si="3"/>
        <v>27670153.560300004</v>
      </c>
      <c r="L15" s="18">
        <f t="shared" si="3"/>
        <v>34564313.160000004</v>
      </c>
      <c r="M15" s="18">
        <f t="shared" si="3"/>
        <v>35836249.410000004</v>
      </c>
      <c r="N15" s="18">
        <f t="shared" si="3"/>
        <v>37155008.969999991</v>
      </c>
      <c r="O15" s="18">
        <f t="shared" si="3"/>
        <v>38522277.719999991</v>
      </c>
      <c r="P15" s="18">
        <f t="shared" si="3"/>
        <v>36944372.313000001</v>
      </c>
      <c r="Q15" s="18">
        <f t="shared" si="3"/>
        <v>35198166.910499997</v>
      </c>
      <c r="R15" s="18">
        <f t="shared" si="3"/>
        <v>29194741.205999997</v>
      </c>
      <c r="S15" s="18">
        <f t="shared" si="3"/>
        <v>22701810.208499994</v>
      </c>
      <c r="T15" s="18">
        <f t="shared" si="3"/>
        <v>15691478.223599996</v>
      </c>
      <c r="U15" s="18">
        <f t="shared" si="3"/>
        <v>8134454.0897999946</v>
      </c>
    </row>
    <row r="17" spans="1:21" x14ac:dyDescent="0.25">
      <c r="A17" s="2" t="s">
        <v>127</v>
      </c>
      <c r="B17" s="2" t="s">
        <v>242</v>
      </c>
      <c r="C17" s="2"/>
      <c r="D17" s="23">
        <f>D19</f>
        <v>239868558.83488002</v>
      </c>
      <c r="E17" s="23">
        <f t="shared" ref="E17:U17" si="4">E19</f>
        <v>0</v>
      </c>
      <c r="F17" s="23">
        <f t="shared" si="4"/>
        <v>2121068.8484999998</v>
      </c>
      <c r="G17" s="23">
        <f t="shared" si="4"/>
        <v>4365333.3780000005</v>
      </c>
      <c r="H17" s="23">
        <f t="shared" si="4"/>
        <v>9571932.1151999999</v>
      </c>
      <c r="I17" s="23">
        <f t="shared" si="4"/>
        <v>15196383.234900003</v>
      </c>
      <c r="J17" s="23">
        <f t="shared" si="4"/>
        <v>21221829.743400004</v>
      </c>
      <c r="K17" s="23">
        <f t="shared" si="4"/>
        <v>27670153.560300004</v>
      </c>
      <c r="L17" s="23">
        <f t="shared" si="4"/>
        <v>34564313.160000004</v>
      </c>
      <c r="M17" s="23">
        <f t="shared" si="4"/>
        <v>35836249.410000004</v>
      </c>
      <c r="N17" s="23">
        <f t="shared" si="4"/>
        <v>37155008.969999991</v>
      </c>
      <c r="O17" s="23">
        <f t="shared" si="4"/>
        <v>38522277.719999991</v>
      </c>
      <c r="P17" s="23">
        <f t="shared" si="4"/>
        <v>36944372.313000001</v>
      </c>
      <c r="Q17" s="23">
        <f t="shared" si="4"/>
        <v>35198166.910499997</v>
      </c>
      <c r="R17" s="23">
        <f t="shared" si="4"/>
        <v>29194741.205999997</v>
      </c>
      <c r="S17" s="23">
        <f t="shared" si="4"/>
        <v>22701810.208499994</v>
      </c>
      <c r="T17" s="23">
        <f t="shared" si="4"/>
        <v>15691478.223599996</v>
      </c>
      <c r="U17" s="23">
        <f t="shared" si="4"/>
        <v>8134454.0897999946</v>
      </c>
    </row>
    <row r="18" spans="1:21" ht="17.25" customHeight="1" x14ac:dyDescent="0.25">
      <c r="A18" t="s">
        <v>129</v>
      </c>
      <c r="B18" t="s">
        <v>203</v>
      </c>
      <c r="C18" t="s">
        <v>144</v>
      </c>
      <c r="D18" s="19">
        <v>13380</v>
      </c>
      <c r="E18" s="19"/>
      <c r="F18" s="17">
        <f>G18/2</f>
        <v>1003.5</v>
      </c>
      <c r="G18" s="17">
        <f>D18*0.15</f>
        <v>2007</v>
      </c>
      <c r="H18" s="17">
        <f>G18+($L$18-$G$18)/5</f>
        <v>4281.6000000000004</v>
      </c>
      <c r="I18" s="17">
        <f>H18+($L$18-$G$18)/5</f>
        <v>6556.2000000000007</v>
      </c>
      <c r="J18" s="17">
        <f>I18+($L$18-$G$18)/5</f>
        <v>8830.8000000000011</v>
      </c>
      <c r="K18" s="17">
        <f>J18+($L$18-$G$18)/5</f>
        <v>11105.400000000001</v>
      </c>
      <c r="L18" s="17">
        <v>13380</v>
      </c>
      <c r="M18" s="17">
        <v>13380</v>
      </c>
      <c r="N18" s="17">
        <v>13380</v>
      </c>
      <c r="O18" s="17">
        <v>13380</v>
      </c>
      <c r="P18" s="17">
        <f>O18-F18</f>
        <v>12376.5</v>
      </c>
      <c r="Q18" s="17">
        <f>O18-G18</f>
        <v>11373</v>
      </c>
      <c r="R18" s="17">
        <f>O18-H18</f>
        <v>9098.4</v>
      </c>
      <c r="S18" s="17">
        <f>O18-I18</f>
        <v>6823.7999999999993</v>
      </c>
      <c r="T18" s="17">
        <f>O18-J18</f>
        <v>4549.1999999999989</v>
      </c>
      <c r="U18" s="17">
        <f>O18-K18</f>
        <v>2274.5999999999985</v>
      </c>
    </row>
    <row r="19" spans="1:21" x14ac:dyDescent="0.25">
      <c r="A19" t="s">
        <v>130</v>
      </c>
      <c r="B19" t="s">
        <v>202</v>
      </c>
      <c r="C19" t="s">
        <v>120</v>
      </c>
      <c r="D19" s="18">
        <f>E19+NPV(0.05,F19:U19)</f>
        <v>239868558.83488002</v>
      </c>
      <c r="E19" s="22"/>
      <c r="F19" s="18">
        <f>F18*F23</f>
        <v>2121068.8484999998</v>
      </c>
      <c r="G19" s="18">
        <f t="shared" ref="G19:U19" si="5">G18*G23</f>
        <v>4365333.3780000005</v>
      </c>
      <c r="H19" s="18">
        <f t="shared" si="5"/>
        <v>9571932.1151999999</v>
      </c>
      <c r="I19" s="18">
        <f t="shared" si="5"/>
        <v>15196383.234900003</v>
      </c>
      <c r="J19" s="18">
        <f t="shared" si="5"/>
        <v>21221829.743400004</v>
      </c>
      <c r="K19" s="18">
        <f t="shared" si="5"/>
        <v>27670153.560300004</v>
      </c>
      <c r="L19" s="18">
        <f t="shared" si="5"/>
        <v>34564313.160000004</v>
      </c>
      <c r="M19" s="18">
        <f t="shared" si="5"/>
        <v>35836249.410000004</v>
      </c>
      <c r="N19" s="18">
        <f t="shared" si="5"/>
        <v>37155008.969999991</v>
      </c>
      <c r="O19" s="18">
        <f t="shared" si="5"/>
        <v>38522277.719999991</v>
      </c>
      <c r="P19" s="18">
        <f t="shared" si="5"/>
        <v>36944372.313000001</v>
      </c>
      <c r="Q19" s="18">
        <f t="shared" si="5"/>
        <v>35198166.910499997</v>
      </c>
      <c r="R19" s="18">
        <f t="shared" si="5"/>
        <v>29194741.205999997</v>
      </c>
      <c r="S19" s="18">
        <f t="shared" si="5"/>
        <v>22701810.208499994</v>
      </c>
      <c r="T19" s="18">
        <f t="shared" si="5"/>
        <v>15691478.223599996</v>
      </c>
      <c r="U19" s="18">
        <f t="shared" si="5"/>
        <v>8134454.0897999946</v>
      </c>
    </row>
    <row r="20" spans="1:21" x14ac:dyDescent="0.25">
      <c r="A20" s="7"/>
    </row>
    <row r="21" spans="1:21" x14ac:dyDescent="0.25">
      <c r="A21" s="2" t="s">
        <v>147</v>
      </c>
      <c r="B21" s="2" t="s">
        <v>6</v>
      </c>
      <c r="C21" s="2"/>
      <c r="D21" s="2"/>
      <c r="E21" s="2"/>
      <c r="F21" s="2"/>
      <c r="G21" s="2"/>
      <c r="H21" s="2"/>
      <c r="I21" s="2"/>
      <c r="J21" s="2"/>
      <c r="K21" s="2"/>
      <c r="L21" s="2"/>
      <c r="M21" s="2"/>
      <c r="N21" s="2"/>
      <c r="O21" s="2"/>
      <c r="P21" s="2"/>
      <c r="Q21" s="2"/>
      <c r="R21" s="2"/>
      <c r="S21" s="2"/>
      <c r="T21" s="2"/>
      <c r="U21" s="2"/>
    </row>
    <row r="22" spans="1:21" x14ac:dyDescent="0.25">
      <c r="A22" s="7" t="s">
        <v>148</v>
      </c>
      <c r="B22" t="s">
        <v>14</v>
      </c>
      <c r="C22" t="s">
        <v>120</v>
      </c>
      <c r="D22" s="19"/>
      <c r="E22" s="17">
        <v>13579.28</v>
      </c>
      <c r="F22" s="17">
        <v>14091.14</v>
      </c>
      <c r="G22" s="17">
        <v>14500.36</v>
      </c>
      <c r="H22" s="17">
        <v>14903.98</v>
      </c>
      <c r="I22" s="17">
        <v>15452.43</v>
      </c>
      <c r="J22" s="17">
        <v>16021.07</v>
      </c>
      <c r="K22" s="17">
        <v>16610.63</v>
      </c>
      <c r="L22" s="17">
        <v>17221.88</v>
      </c>
      <c r="M22" s="17">
        <v>17855.63</v>
      </c>
      <c r="N22" s="17">
        <v>18512.71</v>
      </c>
      <c r="O22" s="17">
        <v>19193.96</v>
      </c>
      <c r="P22" s="17">
        <v>19900.28</v>
      </c>
      <c r="Q22" s="17">
        <v>20632.59</v>
      </c>
      <c r="R22" s="17">
        <v>21391.85</v>
      </c>
      <c r="S22" s="17">
        <v>22179.05</v>
      </c>
      <c r="T22" s="17">
        <v>22995.22</v>
      </c>
      <c r="U22" s="17">
        <v>23841.42</v>
      </c>
    </row>
    <row r="23" spans="1:21" x14ac:dyDescent="0.25">
      <c r="A23" s="7" t="s">
        <v>149</v>
      </c>
      <c r="B23" t="s">
        <v>49</v>
      </c>
      <c r="C23" t="s">
        <v>120</v>
      </c>
      <c r="D23" s="19"/>
      <c r="E23" s="17">
        <f>E22*0.15</f>
        <v>2036.8920000000001</v>
      </c>
      <c r="F23" s="17">
        <f t="shared" ref="F23:U23" si="6">F22*0.15</f>
        <v>2113.6709999999998</v>
      </c>
      <c r="G23" s="17">
        <f t="shared" si="6"/>
        <v>2175.0540000000001</v>
      </c>
      <c r="H23" s="17">
        <f t="shared" si="6"/>
        <v>2235.5969999999998</v>
      </c>
      <c r="I23" s="17">
        <f t="shared" si="6"/>
        <v>2317.8645000000001</v>
      </c>
      <c r="J23" s="17">
        <f t="shared" si="6"/>
        <v>2403.1605</v>
      </c>
      <c r="K23" s="17">
        <f t="shared" si="6"/>
        <v>2491.5945000000002</v>
      </c>
      <c r="L23" s="17">
        <f t="shared" si="6"/>
        <v>2583.2820000000002</v>
      </c>
      <c r="M23" s="17">
        <f t="shared" si="6"/>
        <v>2678.3445000000002</v>
      </c>
      <c r="N23" s="17">
        <f t="shared" si="6"/>
        <v>2776.9064999999996</v>
      </c>
      <c r="O23" s="17">
        <f t="shared" si="6"/>
        <v>2879.0939999999996</v>
      </c>
      <c r="P23" s="17">
        <f t="shared" si="6"/>
        <v>2985.0419999999999</v>
      </c>
      <c r="Q23" s="17">
        <f t="shared" si="6"/>
        <v>3094.8885</v>
      </c>
      <c r="R23" s="17">
        <f t="shared" si="6"/>
        <v>3208.7774999999997</v>
      </c>
      <c r="S23" s="17">
        <f t="shared" si="6"/>
        <v>3326.8574999999996</v>
      </c>
      <c r="T23" s="17">
        <f t="shared" si="6"/>
        <v>3449.2829999999999</v>
      </c>
      <c r="U23" s="17">
        <f t="shared" si="6"/>
        <v>3576.2129999999997</v>
      </c>
    </row>
    <row r="24" spans="1:21" x14ac:dyDescent="0.25">
      <c r="A24" s="7"/>
    </row>
    <row r="25" spans="1:21" s="37" customFormat="1" x14ac:dyDescent="0.25">
      <c r="A25" s="36" t="s">
        <v>155</v>
      </c>
      <c r="B25" s="36" t="s">
        <v>277</v>
      </c>
      <c r="C25" s="36"/>
      <c r="D25" s="36"/>
      <c r="E25" s="36"/>
      <c r="F25" s="36"/>
      <c r="G25" s="36"/>
      <c r="H25" s="36"/>
      <c r="I25" s="36"/>
      <c r="J25" s="36"/>
      <c r="K25" s="36"/>
      <c r="L25" s="36"/>
      <c r="M25" s="36"/>
      <c r="N25" s="36"/>
      <c r="O25" s="36"/>
      <c r="P25" s="36"/>
      <c r="Q25" s="36"/>
      <c r="R25" s="36"/>
      <c r="S25" s="36"/>
      <c r="T25" s="36"/>
      <c r="U25" s="36"/>
    </row>
    <row r="26" spans="1:21" x14ac:dyDescent="0.25">
      <c r="A26" s="7" t="s">
        <v>156</v>
      </c>
      <c r="B26" t="s">
        <v>279</v>
      </c>
    </row>
    <row r="27" spans="1:21" x14ac:dyDescent="0.25">
      <c r="A27" s="7"/>
    </row>
    <row r="28" spans="1:21" x14ac:dyDescent="0.25">
      <c r="A28" s="7"/>
    </row>
  </sheetData>
  <mergeCells count="5">
    <mergeCell ref="B2:B3"/>
    <mergeCell ref="D2:D3"/>
    <mergeCell ref="E1:U1"/>
    <mergeCell ref="A1:A3"/>
    <mergeCell ref="C2:C3"/>
  </mergeCells>
  <phoneticPr fontId="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C338-E2A1-4400-939A-5ABF12D73D41}">
  <sheetPr codeName="Sheet11">
    <tabColor theme="9" tint="0.79998168889431442"/>
  </sheetPr>
  <dimension ref="A1:AE33"/>
  <sheetViews>
    <sheetView workbookViewId="0">
      <selection activeCell="B8" sqref="B8:B10"/>
    </sheetView>
  </sheetViews>
  <sheetFormatPr defaultRowHeight="15" x14ac:dyDescent="0.25"/>
  <cols>
    <col min="2" max="2" width="68.28515625" customWidth="1"/>
    <col min="3" max="3" width="11.5703125" customWidth="1"/>
    <col min="4" max="4" width="10.5703125" customWidth="1"/>
    <col min="5" max="5" width="9.85546875" bestFit="1" customWidth="1"/>
    <col min="15" max="17" width="8.85546875" bestFit="1" customWidth="1"/>
    <col min="18" max="29" width="9.85546875" bestFit="1" customWidth="1"/>
    <col min="30" max="30" width="8.85546875" bestFit="1" customWidth="1"/>
  </cols>
  <sheetData>
    <row r="1" spans="1:30" ht="15" customHeight="1" x14ac:dyDescent="0.25">
      <c r="A1" s="42" t="s">
        <v>117</v>
      </c>
      <c r="B1" s="15" t="s">
        <v>105</v>
      </c>
      <c r="C1" s="15" t="s">
        <v>118</v>
      </c>
      <c r="D1" s="15"/>
      <c r="E1" s="42" t="s">
        <v>5</v>
      </c>
      <c r="F1" s="42"/>
      <c r="G1" s="42"/>
      <c r="H1" s="42"/>
      <c r="I1" s="42"/>
      <c r="J1" s="42"/>
      <c r="K1" s="42"/>
      <c r="L1" s="42"/>
      <c r="M1" s="42"/>
      <c r="N1" s="42"/>
      <c r="O1" s="42"/>
      <c r="P1" s="42"/>
      <c r="Q1" s="42"/>
      <c r="R1" s="42"/>
      <c r="S1" s="42"/>
      <c r="T1" s="42"/>
      <c r="U1" s="42"/>
      <c r="V1" s="42"/>
      <c r="W1" s="42"/>
      <c r="X1" s="42"/>
      <c r="Y1" s="42"/>
      <c r="Z1" s="42"/>
      <c r="AA1" s="42"/>
      <c r="AB1" s="42"/>
      <c r="AC1" s="42"/>
      <c r="AD1" s="42"/>
    </row>
    <row r="2" spans="1:30"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row>
    <row r="3" spans="1:30"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row>
    <row r="4" spans="1:30" x14ac:dyDescent="0.25">
      <c r="A4" t="s">
        <v>115</v>
      </c>
      <c r="B4" t="s">
        <v>319</v>
      </c>
      <c r="C4" t="s">
        <v>120</v>
      </c>
      <c r="D4" s="18">
        <f>E4+NPV(0.05,F4:L4)</f>
        <v>59371268.001065701</v>
      </c>
      <c r="E4" s="18">
        <f>69988802/8</f>
        <v>8748600.25</v>
      </c>
      <c r="F4" s="18">
        <f t="shared" ref="F4:L4" si="0">69988802/8</f>
        <v>8748600.25</v>
      </c>
      <c r="G4" s="18">
        <f t="shared" si="0"/>
        <v>8748600.25</v>
      </c>
      <c r="H4" s="18">
        <f t="shared" si="0"/>
        <v>8748600.25</v>
      </c>
      <c r="I4" s="18">
        <f t="shared" si="0"/>
        <v>8748600.25</v>
      </c>
      <c r="J4" s="18">
        <f t="shared" si="0"/>
        <v>8748600.25</v>
      </c>
      <c r="K4" s="18">
        <f t="shared" si="0"/>
        <v>8748600.25</v>
      </c>
      <c r="L4" s="18">
        <f t="shared" si="0"/>
        <v>8748600.25</v>
      </c>
      <c r="M4" s="22"/>
      <c r="N4" s="22"/>
      <c r="O4" s="22"/>
      <c r="P4" s="22"/>
      <c r="Q4" s="22"/>
      <c r="R4" s="22"/>
      <c r="S4" s="22"/>
      <c r="T4" s="22"/>
      <c r="U4" s="22"/>
      <c r="V4" s="22"/>
      <c r="W4" s="22"/>
      <c r="X4" s="22"/>
      <c r="Y4" s="22"/>
      <c r="Z4" s="22"/>
      <c r="AA4" s="22"/>
      <c r="AB4" s="22"/>
      <c r="AC4" s="22"/>
      <c r="AD4" s="22"/>
    </row>
    <row r="5" spans="1:30" x14ac:dyDescent="0.25">
      <c r="A5" t="s">
        <v>116</v>
      </c>
      <c r="B5" t="s">
        <v>296</v>
      </c>
      <c r="C5" t="s">
        <v>120</v>
      </c>
      <c r="D5" s="18">
        <f>SUM(D12:D13)</f>
        <v>119953419.17908852</v>
      </c>
      <c r="E5" s="18">
        <f t="shared" ref="E5:AD5" si="1">SUM(E12:E13)</f>
        <v>0</v>
      </c>
      <c r="F5" s="18">
        <f t="shared" si="1"/>
        <v>838630.20349999995</v>
      </c>
      <c r="G5" s="18">
        <f t="shared" si="1"/>
        <v>1043873.6322857144</v>
      </c>
      <c r="H5" s="18">
        <f t="shared" si="1"/>
        <v>1335086.1526285715</v>
      </c>
      <c r="I5" s="18">
        <f t="shared" si="1"/>
        <v>1656024.6090428573</v>
      </c>
      <c r="J5" s="18">
        <f t="shared" si="1"/>
        <v>1998773.0689714286</v>
      </c>
      <c r="K5" s="18">
        <f t="shared" si="1"/>
        <v>2364503.6664428571</v>
      </c>
      <c r="L5" s="18">
        <f t="shared" si="1"/>
        <v>2754442.86</v>
      </c>
      <c r="M5" s="18">
        <f t="shared" si="1"/>
        <v>616019.23499999999</v>
      </c>
      <c r="N5" s="18">
        <f t="shared" si="1"/>
        <v>638688.49499999988</v>
      </c>
      <c r="O5" s="18">
        <f t="shared" si="1"/>
        <v>2122961.1899999995</v>
      </c>
      <c r="P5" s="18">
        <f t="shared" si="1"/>
        <v>3690235.3904999997</v>
      </c>
      <c r="Q5" s="18">
        <f t="shared" si="1"/>
        <v>7339655.2621000009</v>
      </c>
      <c r="R5" s="18">
        <f t="shared" si="1"/>
        <v>11143242.718800001</v>
      </c>
      <c r="S5" s="18">
        <f t="shared" si="1"/>
        <v>15216822.868500002</v>
      </c>
      <c r="T5" s="18">
        <f t="shared" si="1"/>
        <v>19575132.985200003</v>
      </c>
      <c r="U5" s="18">
        <f t="shared" si="1"/>
        <v>24233598.6818</v>
      </c>
      <c r="V5" s="18">
        <f t="shared" si="1"/>
        <v>24967415.557999998</v>
      </c>
      <c r="W5" s="18">
        <f t="shared" si="1"/>
        <v>25886199.553999998</v>
      </c>
      <c r="X5" s="18">
        <f t="shared" si="1"/>
        <v>26838780.889000002</v>
      </c>
      <c r="Y5" s="18">
        <f t="shared" si="1"/>
        <v>25729784.273750003</v>
      </c>
      <c r="Z5" s="18">
        <f t="shared" si="1"/>
        <v>24502783.074000005</v>
      </c>
      <c r="AA5" s="18">
        <f t="shared" si="1"/>
        <v>20323588.079200003</v>
      </c>
      <c r="AB5" s="18">
        <f t="shared" si="1"/>
        <v>15803606.372400003</v>
      </c>
      <c r="AC5" s="18">
        <f t="shared" si="1"/>
        <v>10923440.164000001</v>
      </c>
      <c r="AD5" s="18">
        <f t="shared" si="1"/>
        <v>5662707.5098999999</v>
      </c>
    </row>
    <row r="7" spans="1:30" x14ac:dyDescent="0.25">
      <c r="A7" t="s">
        <v>121</v>
      </c>
      <c r="B7" t="s">
        <v>179</v>
      </c>
      <c r="C7" t="s">
        <v>120</v>
      </c>
      <c r="D7" s="20">
        <f>D5-D4</f>
        <v>60582151.178022817</v>
      </c>
    </row>
    <row r="8" spans="1:30" x14ac:dyDescent="0.25">
      <c r="A8" t="s">
        <v>244</v>
      </c>
      <c r="B8" t="s">
        <v>247</v>
      </c>
      <c r="C8" t="s">
        <v>126</v>
      </c>
      <c r="D8" s="21">
        <f>D5/D4</f>
        <v>2.0203951038562185</v>
      </c>
    </row>
    <row r="9" spans="1:30" x14ac:dyDescent="0.25">
      <c r="A9" t="s">
        <v>245</v>
      </c>
      <c r="B9" t="s">
        <v>248</v>
      </c>
      <c r="C9" t="s">
        <v>126</v>
      </c>
      <c r="D9" s="33">
        <f>D5/D4</f>
        <v>2.0203951038562185</v>
      </c>
    </row>
    <row r="10" spans="1:30" x14ac:dyDescent="0.25">
      <c r="A10" t="s">
        <v>246</v>
      </c>
      <c r="B10" t="s">
        <v>249</v>
      </c>
      <c r="C10" t="s">
        <v>126</v>
      </c>
      <c r="D10" s="33">
        <f>D5/D4</f>
        <v>2.0203951038562185</v>
      </c>
    </row>
    <row r="12" spans="1:30" x14ac:dyDescent="0.25">
      <c r="A12" t="s">
        <v>122</v>
      </c>
      <c r="B12" t="s">
        <v>124</v>
      </c>
      <c r="C12" t="s">
        <v>120</v>
      </c>
      <c r="D12" s="18">
        <f>SUM(E12:U12)</f>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row>
    <row r="13" spans="1:30" x14ac:dyDescent="0.25">
      <c r="A13" t="s">
        <v>123</v>
      </c>
      <c r="B13" t="s">
        <v>125</v>
      </c>
      <c r="C13" t="s">
        <v>120</v>
      </c>
      <c r="D13" s="18">
        <f t="shared" ref="D13:AD13" si="2">D15</f>
        <v>119953419.17908852</v>
      </c>
      <c r="E13" s="18">
        <f t="shared" si="2"/>
        <v>0</v>
      </c>
      <c r="F13" s="18">
        <f t="shared" si="2"/>
        <v>838630.20349999995</v>
      </c>
      <c r="G13" s="18">
        <f t="shared" si="2"/>
        <v>1043873.6322857144</v>
      </c>
      <c r="H13" s="18">
        <f t="shared" si="2"/>
        <v>1335086.1526285715</v>
      </c>
      <c r="I13" s="18">
        <f t="shared" si="2"/>
        <v>1656024.6090428573</v>
      </c>
      <c r="J13" s="18">
        <f t="shared" si="2"/>
        <v>1998773.0689714286</v>
      </c>
      <c r="K13" s="18">
        <f t="shared" si="2"/>
        <v>2364503.6664428571</v>
      </c>
      <c r="L13" s="18">
        <f t="shared" si="2"/>
        <v>2754442.86</v>
      </c>
      <c r="M13" s="18">
        <f t="shared" si="2"/>
        <v>616019.23499999999</v>
      </c>
      <c r="N13" s="18">
        <f t="shared" si="2"/>
        <v>638688.49499999988</v>
      </c>
      <c r="O13" s="18">
        <f t="shared" si="2"/>
        <v>2122961.1899999995</v>
      </c>
      <c r="P13" s="18">
        <f t="shared" si="2"/>
        <v>3690235.3904999997</v>
      </c>
      <c r="Q13" s="18">
        <f t="shared" si="2"/>
        <v>7339655.2621000009</v>
      </c>
      <c r="R13" s="18">
        <f t="shared" si="2"/>
        <v>11143242.718800001</v>
      </c>
      <c r="S13" s="18">
        <f t="shared" si="2"/>
        <v>15216822.868500002</v>
      </c>
      <c r="T13" s="18">
        <f t="shared" si="2"/>
        <v>19575132.985200003</v>
      </c>
      <c r="U13" s="18">
        <f t="shared" si="2"/>
        <v>24233598.6818</v>
      </c>
      <c r="V13" s="18">
        <f t="shared" si="2"/>
        <v>24967415.557999998</v>
      </c>
      <c r="W13" s="18">
        <f t="shared" si="2"/>
        <v>25886199.553999998</v>
      </c>
      <c r="X13" s="18">
        <f t="shared" si="2"/>
        <v>26838780.889000002</v>
      </c>
      <c r="Y13" s="18">
        <f t="shared" si="2"/>
        <v>25729784.273750003</v>
      </c>
      <c r="Z13" s="18">
        <f t="shared" si="2"/>
        <v>24502783.074000005</v>
      </c>
      <c r="AA13" s="18">
        <f t="shared" si="2"/>
        <v>20323588.079200003</v>
      </c>
      <c r="AB13" s="18">
        <f t="shared" si="2"/>
        <v>15803606.372400003</v>
      </c>
      <c r="AC13" s="18">
        <f t="shared" si="2"/>
        <v>10923440.164000001</v>
      </c>
      <c r="AD13" s="18">
        <f t="shared" si="2"/>
        <v>5662707.5098999999</v>
      </c>
    </row>
    <row r="15" spans="1:30" x14ac:dyDescent="0.25">
      <c r="A15" s="2" t="s">
        <v>127</v>
      </c>
      <c r="B15" s="2" t="s">
        <v>242</v>
      </c>
      <c r="C15" s="2"/>
      <c r="D15" s="23">
        <f>SUM(D17,D20,D22)</f>
        <v>119953419.17908852</v>
      </c>
      <c r="E15" s="23">
        <f t="shared" ref="E15:AD15" si="3">SUM(E17,E20,E22)</f>
        <v>0</v>
      </c>
      <c r="F15" s="23">
        <f t="shared" si="3"/>
        <v>838630.20349999995</v>
      </c>
      <c r="G15" s="23">
        <f t="shared" si="3"/>
        <v>1043873.6322857144</v>
      </c>
      <c r="H15" s="23">
        <f t="shared" si="3"/>
        <v>1335086.1526285715</v>
      </c>
      <c r="I15" s="23">
        <f t="shared" si="3"/>
        <v>1656024.6090428573</v>
      </c>
      <c r="J15" s="23">
        <f t="shared" si="3"/>
        <v>1998773.0689714286</v>
      </c>
      <c r="K15" s="23">
        <f t="shared" si="3"/>
        <v>2364503.6664428571</v>
      </c>
      <c r="L15" s="23">
        <f t="shared" si="3"/>
        <v>2754442.86</v>
      </c>
      <c r="M15" s="23">
        <f t="shared" si="3"/>
        <v>616019.23499999999</v>
      </c>
      <c r="N15" s="23">
        <f t="shared" si="3"/>
        <v>638688.49499999988</v>
      </c>
      <c r="O15" s="23">
        <f t="shared" si="3"/>
        <v>2122961.1899999995</v>
      </c>
      <c r="P15" s="23">
        <f t="shared" si="3"/>
        <v>3690235.3904999997</v>
      </c>
      <c r="Q15" s="23">
        <f t="shared" si="3"/>
        <v>7339655.2621000009</v>
      </c>
      <c r="R15" s="23">
        <f t="shared" si="3"/>
        <v>11143242.718800001</v>
      </c>
      <c r="S15" s="23">
        <f t="shared" si="3"/>
        <v>15216822.868500002</v>
      </c>
      <c r="T15" s="23">
        <f t="shared" si="3"/>
        <v>19575132.985200003</v>
      </c>
      <c r="U15" s="23">
        <f t="shared" si="3"/>
        <v>24233598.6818</v>
      </c>
      <c r="V15" s="23">
        <f t="shared" si="3"/>
        <v>24967415.557999998</v>
      </c>
      <c r="W15" s="23">
        <f t="shared" si="3"/>
        <v>25886199.553999998</v>
      </c>
      <c r="X15" s="23">
        <f t="shared" si="3"/>
        <v>26838780.889000002</v>
      </c>
      <c r="Y15" s="23">
        <f t="shared" si="3"/>
        <v>25729784.273750003</v>
      </c>
      <c r="Z15" s="23">
        <f t="shared" si="3"/>
        <v>24502783.074000005</v>
      </c>
      <c r="AA15" s="23">
        <f t="shared" si="3"/>
        <v>20323588.079200003</v>
      </c>
      <c r="AB15" s="23">
        <f t="shared" si="3"/>
        <v>15803606.372400003</v>
      </c>
      <c r="AC15" s="23">
        <f t="shared" si="3"/>
        <v>10923440.164000001</v>
      </c>
      <c r="AD15" s="23">
        <f t="shared" si="3"/>
        <v>5662707.5098999999</v>
      </c>
    </row>
    <row r="16" spans="1:30" x14ac:dyDescent="0.25">
      <c r="A16" t="s">
        <v>129</v>
      </c>
      <c r="B16" s="1" t="s">
        <v>57</v>
      </c>
      <c r="C16" t="s">
        <v>144</v>
      </c>
      <c r="D16" s="17"/>
      <c r="E16" s="17">
        <v>0</v>
      </c>
      <c r="F16" s="17">
        <v>1485.7142857142858</v>
      </c>
      <c r="G16" s="17">
        <v>1771.4285714285716</v>
      </c>
      <c r="H16" s="17">
        <v>2057.1428571428573</v>
      </c>
      <c r="I16" s="17">
        <v>2342.8571428571431</v>
      </c>
      <c r="J16" s="17">
        <v>2628.5714285714289</v>
      </c>
      <c r="K16" s="17">
        <v>2914.2857142857147</v>
      </c>
      <c r="L16" s="17">
        <v>3200</v>
      </c>
      <c r="M16" s="17"/>
      <c r="N16" s="17"/>
      <c r="O16" s="17"/>
      <c r="P16" s="17"/>
      <c r="Q16" s="17"/>
      <c r="R16" s="17"/>
      <c r="S16" s="17"/>
      <c r="T16" s="17"/>
      <c r="U16" s="17"/>
      <c r="V16" s="17"/>
      <c r="W16" s="17"/>
      <c r="X16" s="17"/>
      <c r="Y16" s="17"/>
      <c r="Z16" s="17"/>
      <c r="AA16" s="17"/>
      <c r="AB16" s="17"/>
      <c r="AC16" s="17"/>
      <c r="AD16" s="17"/>
    </row>
    <row r="17" spans="1:31" x14ac:dyDescent="0.25">
      <c r="A17" t="s">
        <v>130</v>
      </c>
      <c r="B17" s="1" t="s">
        <v>280</v>
      </c>
      <c r="C17" t="s">
        <v>120</v>
      </c>
      <c r="D17" s="18">
        <f>NPV(0.05,F17:AD17)</f>
        <v>8145318.571398139</v>
      </c>
      <c r="E17" s="18">
        <f>E16*E25</f>
        <v>0</v>
      </c>
      <c r="F17" s="18">
        <f t="shared" ref="F17:AD17" si="4">F16*F25</f>
        <v>820664</v>
      </c>
      <c r="G17" s="18">
        <f t="shared" si="4"/>
        <v>1006897.7142857143</v>
      </c>
      <c r="H17" s="18">
        <f t="shared" si="4"/>
        <v>1201844.5714285716</v>
      </c>
      <c r="I17" s="18">
        <f t="shared" si="4"/>
        <v>1419138.8571428573</v>
      </c>
      <c r="J17" s="18">
        <f t="shared" si="4"/>
        <v>1650795.4285714286</v>
      </c>
      <c r="K17" s="18">
        <f t="shared" si="4"/>
        <v>1897578.8571428573</v>
      </c>
      <c r="L17" s="18">
        <f t="shared" si="4"/>
        <v>2160288</v>
      </c>
      <c r="M17" s="18">
        <f t="shared" si="4"/>
        <v>0</v>
      </c>
      <c r="N17" s="18">
        <f t="shared" si="4"/>
        <v>0</v>
      </c>
      <c r="O17" s="18">
        <f t="shared" si="4"/>
        <v>0</v>
      </c>
      <c r="P17" s="18">
        <f t="shared" si="4"/>
        <v>0</v>
      </c>
      <c r="Q17" s="18">
        <f t="shared" si="4"/>
        <v>0</v>
      </c>
      <c r="R17" s="18">
        <f t="shared" si="4"/>
        <v>0</v>
      </c>
      <c r="S17" s="18">
        <f t="shared" si="4"/>
        <v>0</v>
      </c>
      <c r="T17" s="18">
        <f t="shared" si="4"/>
        <v>0</v>
      </c>
      <c r="U17" s="18">
        <f t="shared" si="4"/>
        <v>0</v>
      </c>
      <c r="V17" s="18">
        <f t="shared" si="4"/>
        <v>0</v>
      </c>
      <c r="W17" s="18">
        <f t="shared" si="4"/>
        <v>0</v>
      </c>
      <c r="X17" s="18">
        <f t="shared" si="4"/>
        <v>0</v>
      </c>
      <c r="Y17" s="18">
        <f t="shared" si="4"/>
        <v>0</v>
      </c>
      <c r="Z17" s="18">
        <f t="shared" si="4"/>
        <v>0</v>
      </c>
      <c r="AA17" s="18">
        <f t="shared" si="4"/>
        <v>0</v>
      </c>
      <c r="AB17" s="18">
        <f t="shared" si="4"/>
        <v>0</v>
      </c>
      <c r="AC17" s="18">
        <f t="shared" si="4"/>
        <v>0</v>
      </c>
      <c r="AD17" s="18">
        <f t="shared" si="4"/>
        <v>0</v>
      </c>
    </row>
    <row r="18" spans="1:31" x14ac:dyDescent="0.25">
      <c r="A18" t="s">
        <v>131</v>
      </c>
      <c r="B18" s="1" t="s">
        <v>58</v>
      </c>
      <c r="C18" t="s">
        <v>144</v>
      </c>
      <c r="D18" s="17"/>
      <c r="E18" s="17"/>
      <c r="F18" s="17">
        <f>G18/2</f>
        <v>487.5</v>
      </c>
      <c r="G18" s="17">
        <v>975</v>
      </c>
      <c r="H18" s="17">
        <f>G18+($L$18-$G$18)/5</f>
        <v>2074</v>
      </c>
      <c r="I18" s="17">
        <f>H18+($L$18-$G$18)/5</f>
        <v>3173</v>
      </c>
      <c r="J18" s="17">
        <f>I18+($L$18-$G$18)/5</f>
        <v>4272</v>
      </c>
      <c r="K18" s="17">
        <f>J18+($L$18-$G$18)/5</f>
        <v>5371</v>
      </c>
      <c r="L18" s="17">
        <v>6470</v>
      </c>
      <c r="M18" s="17"/>
      <c r="N18" s="17"/>
      <c r="O18" s="17"/>
      <c r="P18" s="17"/>
      <c r="Q18" s="17"/>
      <c r="R18" s="17"/>
      <c r="S18" s="17"/>
      <c r="T18" s="17"/>
      <c r="U18" s="17"/>
      <c r="V18" s="17"/>
      <c r="W18" s="17"/>
      <c r="X18" s="17"/>
      <c r="Y18" s="17"/>
      <c r="Z18" s="17"/>
      <c r="AA18" s="17"/>
      <c r="AB18" s="17"/>
      <c r="AC18" s="17"/>
      <c r="AD18" s="17"/>
    </row>
    <row r="19" spans="1:31" ht="30" x14ac:dyDescent="0.25">
      <c r="A19" t="s">
        <v>132</v>
      </c>
      <c r="B19" s="1" t="s">
        <v>210</v>
      </c>
      <c r="C19" t="s">
        <v>144</v>
      </c>
      <c r="D19" s="17"/>
      <c r="E19" s="17"/>
      <c r="F19" s="17"/>
      <c r="G19" s="17"/>
      <c r="H19" s="17"/>
      <c r="I19" s="17"/>
      <c r="J19" s="17"/>
      <c r="K19" s="17"/>
      <c r="L19" s="17"/>
      <c r="M19" s="17"/>
      <c r="N19" s="17"/>
      <c r="O19" s="17">
        <f t="shared" ref="O19:U19" si="5">F18</f>
        <v>487.5</v>
      </c>
      <c r="P19" s="17">
        <f t="shared" si="5"/>
        <v>975</v>
      </c>
      <c r="Q19" s="17">
        <f t="shared" si="5"/>
        <v>2074</v>
      </c>
      <c r="R19" s="17">
        <f t="shared" si="5"/>
        <v>3173</v>
      </c>
      <c r="S19" s="17">
        <f t="shared" si="5"/>
        <v>4272</v>
      </c>
      <c r="T19" s="17">
        <f t="shared" si="5"/>
        <v>5371</v>
      </c>
      <c r="U19" s="17">
        <f t="shared" si="5"/>
        <v>6470</v>
      </c>
      <c r="V19" s="17">
        <f>U19</f>
        <v>6470</v>
      </c>
      <c r="W19" s="17">
        <f t="shared" ref="W19:X19" si="6">V19</f>
        <v>6470</v>
      </c>
      <c r="X19" s="17">
        <f t="shared" si="6"/>
        <v>6470</v>
      </c>
      <c r="Y19" s="17">
        <f>W19-O19</f>
        <v>5982.5</v>
      </c>
      <c r="Z19" s="17">
        <f>X19-P19</f>
        <v>5495</v>
      </c>
      <c r="AA19" s="17">
        <f>X19-Q19</f>
        <v>4396</v>
      </c>
      <c r="AB19" s="17">
        <f>W19-R19</f>
        <v>3297</v>
      </c>
      <c r="AC19" s="17">
        <f>X19-S19</f>
        <v>2198</v>
      </c>
      <c r="AD19" s="17">
        <f>U19-T19</f>
        <v>1099</v>
      </c>
    </row>
    <row r="20" spans="1:31" x14ac:dyDescent="0.25">
      <c r="A20" t="s">
        <v>201</v>
      </c>
      <c r="B20" t="s">
        <v>198</v>
      </c>
      <c r="C20" t="s">
        <v>120</v>
      </c>
      <c r="D20" s="18">
        <f>NPV(0.05,F20:AD20)</f>
        <v>107699440.66037841</v>
      </c>
      <c r="E20" s="18"/>
      <c r="F20" s="18">
        <v>0</v>
      </c>
      <c r="G20" s="18">
        <v>0</v>
      </c>
      <c r="H20" s="18">
        <v>0</v>
      </c>
      <c r="I20" s="18">
        <v>0</v>
      </c>
      <c r="J20" s="18">
        <v>0</v>
      </c>
      <c r="K20" s="18">
        <v>0</v>
      </c>
      <c r="L20" s="18">
        <v>0</v>
      </c>
      <c r="M20" s="18">
        <v>0</v>
      </c>
      <c r="N20" s="18">
        <v>0</v>
      </c>
      <c r="O20" s="18">
        <f>O19*0.45*O27+O19*0.4*O28*0.4</f>
        <v>1460769.5699999998</v>
      </c>
      <c r="P20" s="18">
        <f t="shared" ref="P20:AD20" si="7">P19*0.45*P27+P19*0.4*P28*0.4</f>
        <v>3029048.5874999999</v>
      </c>
      <c r="Q20" s="18">
        <f t="shared" si="7"/>
        <v>6680444.0116000008</v>
      </c>
      <c r="R20" s="18">
        <f t="shared" si="7"/>
        <v>10596467.0328</v>
      </c>
      <c r="S20" s="18">
        <f t="shared" si="7"/>
        <v>14791650.480000002</v>
      </c>
      <c r="T20" s="18">
        <f t="shared" si="7"/>
        <v>19281254.073600002</v>
      </c>
      <c r="U20" s="18">
        <f t="shared" si="7"/>
        <v>24081252.008000001</v>
      </c>
      <c r="V20" s="18">
        <f t="shared" si="7"/>
        <v>24967415.557999998</v>
      </c>
      <c r="W20" s="18">
        <f t="shared" si="7"/>
        <v>25886199.553999998</v>
      </c>
      <c r="X20" s="18">
        <f t="shared" si="7"/>
        <v>26838780.889000002</v>
      </c>
      <c r="Y20" s="18">
        <f t="shared" si="7"/>
        <v>25729784.273750003</v>
      </c>
      <c r="Z20" s="18">
        <f t="shared" si="7"/>
        <v>24502783.074000005</v>
      </c>
      <c r="AA20" s="18">
        <f t="shared" si="7"/>
        <v>20323588.079200003</v>
      </c>
      <c r="AB20" s="18">
        <f t="shared" si="7"/>
        <v>15803606.372400003</v>
      </c>
      <c r="AC20" s="18">
        <f t="shared" si="7"/>
        <v>10923440.164000001</v>
      </c>
      <c r="AD20" s="18">
        <f t="shared" si="7"/>
        <v>5662707.5098999999</v>
      </c>
    </row>
    <row r="21" spans="1:31" x14ac:dyDescent="0.25">
      <c r="A21" t="s">
        <v>133</v>
      </c>
      <c r="B21" s="1" t="s">
        <v>59</v>
      </c>
      <c r="C21" t="s">
        <v>144</v>
      </c>
      <c r="D21" s="17"/>
      <c r="E21" s="17"/>
      <c r="F21" s="17">
        <f>G21/2</f>
        <v>8.5</v>
      </c>
      <c r="G21" s="17">
        <v>17</v>
      </c>
      <c r="H21" s="17">
        <f>G21+($L$21-$G$21)/5</f>
        <v>59.6</v>
      </c>
      <c r="I21" s="17">
        <f>H21+($L$21-$G$21)/5</f>
        <v>102.2</v>
      </c>
      <c r="J21" s="17">
        <f>I21+($L$21-$G$21)/5</f>
        <v>144.80000000000001</v>
      </c>
      <c r="K21" s="17">
        <f>J21+($L$21-$G$21)/5</f>
        <v>187.4</v>
      </c>
      <c r="L21" s="17">
        <v>230</v>
      </c>
      <c r="M21" s="17">
        <v>230</v>
      </c>
      <c r="N21" s="17">
        <v>230</v>
      </c>
      <c r="O21" s="17">
        <v>230</v>
      </c>
      <c r="P21" s="17">
        <f>L21-F21</f>
        <v>221.5</v>
      </c>
      <c r="Q21" s="17">
        <f>L21-G21</f>
        <v>213</v>
      </c>
      <c r="R21" s="17">
        <f>L21-H21</f>
        <v>170.4</v>
      </c>
      <c r="S21" s="17">
        <f>L21-I21</f>
        <v>127.8</v>
      </c>
      <c r="T21" s="17">
        <f>L21-J21</f>
        <v>85.199999999999989</v>
      </c>
      <c r="U21" s="17">
        <f>L21-K21</f>
        <v>42.599999999999994</v>
      </c>
      <c r="V21" s="17"/>
      <c r="W21" s="17"/>
      <c r="X21" s="17"/>
      <c r="Y21" s="17"/>
      <c r="Z21" s="17"/>
      <c r="AA21" s="17"/>
      <c r="AB21" s="17"/>
      <c r="AC21" s="17"/>
      <c r="AD21" s="17"/>
    </row>
    <row r="22" spans="1:31" x14ac:dyDescent="0.25">
      <c r="A22" t="s">
        <v>134</v>
      </c>
      <c r="B22" s="1" t="s">
        <v>206</v>
      </c>
      <c r="C22" t="s">
        <v>120</v>
      </c>
      <c r="D22" s="18">
        <f>NPV(0.05,F22:AD22)</f>
        <v>4108659.9473119606</v>
      </c>
      <c r="E22" s="18"/>
      <c r="F22" s="18">
        <f>F21*F26</f>
        <v>17966.2035</v>
      </c>
      <c r="G22" s="18">
        <f t="shared" ref="G22:AD22" si="8">G21*G26</f>
        <v>36975.918000000005</v>
      </c>
      <c r="H22" s="18">
        <f t="shared" si="8"/>
        <v>133241.58119999999</v>
      </c>
      <c r="I22" s="18">
        <f t="shared" si="8"/>
        <v>236885.75190000003</v>
      </c>
      <c r="J22" s="18">
        <f t="shared" si="8"/>
        <v>347977.64040000003</v>
      </c>
      <c r="K22" s="18">
        <f t="shared" si="8"/>
        <v>466924.80930000002</v>
      </c>
      <c r="L22" s="18">
        <f t="shared" si="8"/>
        <v>594154.86</v>
      </c>
      <c r="M22" s="18">
        <f t="shared" si="8"/>
        <v>616019.23499999999</v>
      </c>
      <c r="N22" s="18">
        <f t="shared" si="8"/>
        <v>638688.49499999988</v>
      </c>
      <c r="O22" s="18">
        <f t="shared" si="8"/>
        <v>662191.61999999988</v>
      </c>
      <c r="P22" s="18">
        <f t="shared" si="8"/>
        <v>661186.80299999996</v>
      </c>
      <c r="Q22" s="18">
        <f t="shared" si="8"/>
        <v>659211.25049999997</v>
      </c>
      <c r="R22" s="18">
        <f t="shared" si="8"/>
        <v>546775.68599999999</v>
      </c>
      <c r="S22" s="18">
        <f t="shared" si="8"/>
        <v>425172.38849999994</v>
      </c>
      <c r="T22" s="18">
        <f t="shared" si="8"/>
        <v>293878.91159999993</v>
      </c>
      <c r="U22" s="18">
        <f t="shared" si="8"/>
        <v>152346.67379999996</v>
      </c>
      <c r="V22" s="18">
        <f t="shared" si="8"/>
        <v>0</v>
      </c>
      <c r="W22" s="18">
        <f t="shared" si="8"/>
        <v>0</v>
      </c>
      <c r="X22" s="18">
        <f t="shared" si="8"/>
        <v>0</v>
      </c>
      <c r="Y22" s="18">
        <f t="shared" si="8"/>
        <v>0</v>
      </c>
      <c r="Z22" s="18">
        <f t="shared" si="8"/>
        <v>0</v>
      </c>
      <c r="AA22" s="18">
        <f t="shared" si="8"/>
        <v>0</v>
      </c>
      <c r="AB22" s="18">
        <f t="shared" si="8"/>
        <v>0</v>
      </c>
      <c r="AC22" s="18">
        <f t="shared" si="8"/>
        <v>0</v>
      </c>
      <c r="AD22" s="18">
        <f t="shared" si="8"/>
        <v>0</v>
      </c>
    </row>
    <row r="24" spans="1:31" x14ac:dyDescent="0.25">
      <c r="A24" s="2" t="s">
        <v>147</v>
      </c>
      <c r="B24" s="2" t="s">
        <v>6</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3"/>
    </row>
    <row r="25" spans="1:31" x14ac:dyDescent="0.25">
      <c r="A25" s="7" t="s">
        <v>148</v>
      </c>
      <c r="B25" t="s">
        <v>56</v>
      </c>
      <c r="C25" t="s">
        <v>120</v>
      </c>
      <c r="D25" s="19"/>
      <c r="E25" s="17">
        <v>532.29999999999995</v>
      </c>
      <c r="F25" s="17">
        <v>552.37</v>
      </c>
      <c r="G25" s="17">
        <v>568.41</v>
      </c>
      <c r="H25" s="17">
        <v>584.23</v>
      </c>
      <c r="I25" s="17">
        <v>605.73</v>
      </c>
      <c r="J25" s="17">
        <v>628.02</v>
      </c>
      <c r="K25" s="17">
        <v>651.13</v>
      </c>
      <c r="L25" s="17">
        <v>675.09</v>
      </c>
      <c r="M25" s="17"/>
      <c r="N25" s="17"/>
      <c r="O25" s="17"/>
      <c r="P25" s="17"/>
      <c r="Q25" s="17"/>
      <c r="R25" s="17"/>
      <c r="S25" s="17"/>
      <c r="T25" s="17"/>
      <c r="U25" s="17"/>
      <c r="V25" s="19"/>
      <c r="W25" s="19"/>
      <c r="X25" s="19"/>
      <c r="Y25" s="19"/>
      <c r="Z25" s="19"/>
      <c r="AA25" s="19"/>
      <c r="AB25" s="19"/>
      <c r="AC25" s="19"/>
      <c r="AD25" s="19"/>
      <c r="AE25" s="3"/>
    </row>
    <row r="26" spans="1:31" ht="30" x14ac:dyDescent="0.25">
      <c r="A26" s="7" t="s">
        <v>149</v>
      </c>
      <c r="B26" s="1" t="s">
        <v>49</v>
      </c>
      <c r="C26" t="s">
        <v>120</v>
      </c>
      <c r="D26" s="19"/>
      <c r="E26" s="17">
        <v>2036.8920000000001</v>
      </c>
      <c r="F26" s="17">
        <v>2113.6709999999998</v>
      </c>
      <c r="G26" s="17">
        <v>2175.0540000000001</v>
      </c>
      <c r="H26" s="17">
        <v>2235.5969999999998</v>
      </c>
      <c r="I26" s="17">
        <v>2317.8645000000001</v>
      </c>
      <c r="J26" s="17">
        <v>2403.1605</v>
      </c>
      <c r="K26" s="17">
        <v>2491.5945000000002</v>
      </c>
      <c r="L26" s="17">
        <v>2583.2820000000002</v>
      </c>
      <c r="M26" s="17">
        <v>2678.3445000000002</v>
      </c>
      <c r="N26" s="17">
        <v>2776.9064999999996</v>
      </c>
      <c r="O26" s="17">
        <v>2879.0939999999996</v>
      </c>
      <c r="P26" s="17">
        <v>2985.0419999999999</v>
      </c>
      <c r="Q26" s="17">
        <v>3094.8885</v>
      </c>
      <c r="R26" s="17">
        <v>3208.7774999999997</v>
      </c>
      <c r="S26" s="17">
        <v>3326.8574999999996</v>
      </c>
      <c r="T26" s="17">
        <v>3449.2829999999999</v>
      </c>
      <c r="U26" s="17">
        <v>3576.2129999999997</v>
      </c>
      <c r="V26" s="19"/>
      <c r="W26" s="19"/>
      <c r="X26" s="19"/>
      <c r="Y26" s="19"/>
      <c r="Z26" s="19"/>
      <c r="AA26" s="19"/>
      <c r="AB26" s="19"/>
      <c r="AC26" s="19"/>
      <c r="AD26" s="19"/>
    </row>
    <row r="27" spans="1:31" ht="30" x14ac:dyDescent="0.25">
      <c r="A27" s="7" t="s">
        <v>150</v>
      </c>
      <c r="B27" s="1" t="s">
        <v>62</v>
      </c>
      <c r="C27" t="s">
        <v>120</v>
      </c>
      <c r="D27" s="19"/>
      <c r="E27" s="17">
        <v>915.36</v>
      </c>
      <c r="F27" s="17">
        <v>949.87</v>
      </c>
      <c r="G27" s="17">
        <v>977.45</v>
      </c>
      <c r="H27" s="17">
        <v>1004.66</v>
      </c>
      <c r="I27" s="17">
        <v>1041.6300000000001</v>
      </c>
      <c r="J27" s="17">
        <v>1079.96</v>
      </c>
      <c r="K27" s="17">
        <v>1119.7</v>
      </c>
      <c r="L27" s="17">
        <v>1160.9100000000001</v>
      </c>
      <c r="M27" s="17">
        <v>1203.6300000000001</v>
      </c>
      <c r="N27" s="17">
        <v>1247.92</v>
      </c>
      <c r="O27" s="17">
        <v>1293.8399999999999</v>
      </c>
      <c r="P27" s="17">
        <v>1341.45</v>
      </c>
      <c r="Q27" s="17">
        <v>1390.82</v>
      </c>
      <c r="R27" s="17">
        <v>1442</v>
      </c>
      <c r="S27" s="17">
        <v>1495.06</v>
      </c>
      <c r="T27" s="17">
        <v>1550.08</v>
      </c>
      <c r="U27" s="17">
        <v>1607.12</v>
      </c>
      <c r="V27" s="17">
        <v>1666.26</v>
      </c>
      <c r="W27" s="17">
        <v>1727.58</v>
      </c>
      <c r="X27" s="17">
        <v>1791.15</v>
      </c>
      <c r="Y27" s="17">
        <v>1857.07</v>
      </c>
      <c r="Z27" s="17">
        <v>1925.4</v>
      </c>
      <c r="AA27" s="17">
        <v>1996.26</v>
      </c>
      <c r="AB27" s="17">
        <v>2069.7199999999998</v>
      </c>
      <c r="AC27" s="17">
        <v>2145.88</v>
      </c>
      <c r="AD27" s="17">
        <v>2224.85</v>
      </c>
    </row>
    <row r="28" spans="1:31" ht="30" x14ac:dyDescent="0.25">
      <c r="A28" s="7" t="s">
        <v>151</v>
      </c>
      <c r="B28" s="1" t="s">
        <v>44</v>
      </c>
      <c r="C28" t="s">
        <v>120</v>
      </c>
      <c r="D28" s="19"/>
      <c r="E28" s="17">
        <v>10675.04</v>
      </c>
      <c r="F28" s="17">
        <v>11077.42</v>
      </c>
      <c r="G28" s="17">
        <v>11399.13</v>
      </c>
      <c r="H28" s="17">
        <v>11716.42</v>
      </c>
      <c r="I28" s="17">
        <v>12147.57</v>
      </c>
      <c r="J28" s="17">
        <v>12594.59</v>
      </c>
      <c r="K28" s="17">
        <v>13058.06</v>
      </c>
      <c r="L28" s="17">
        <v>13538.59</v>
      </c>
      <c r="M28" s="17">
        <v>14036.8</v>
      </c>
      <c r="N28" s="17">
        <v>14553.34</v>
      </c>
      <c r="O28" s="17">
        <v>15088.89</v>
      </c>
      <c r="P28" s="17">
        <v>15644.15</v>
      </c>
      <c r="Q28" s="17">
        <v>16219.84</v>
      </c>
      <c r="R28" s="17">
        <v>16816.71</v>
      </c>
      <c r="S28" s="17">
        <v>17435.55</v>
      </c>
      <c r="T28" s="17">
        <v>18077.16</v>
      </c>
      <c r="U28" s="17">
        <v>18742.39</v>
      </c>
      <c r="V28" s="17">
        <v>19432.09</v>
      </c>
      <c r="W28" s="17">
        <v>20147.169999999998</v>
      </c>
      <c r="X28" s="17">
        <v>20888.57</v>
      </c>
      <c r="Y28" s="17">
        <v>21657.25</v>
      </c>
      <c r="Z28" s="17">
        <v>22454.22</v>
      </c>
      <c r="AA28" s="17">
        <v>23280.52</v>
      </c>
      <c r="AB28" s="17">
        <v>24137.22</v>
      </c>
      <c r="AC28" s="17">
        <v>25025.45</v>
      </c>
      <c r="AD28" s="17">
        <v>25946.36</v>
      </c>
    </row>
    <row r="30" spans="1:31" x14ac:dyDescent="0.25">
      <c r="A30" s="2" t="s">
        <v>155</v>
      </c>
      <c r="B30" s="36" t="s">
        <v>277</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1" x14ac:dyDescent="0.25">
      <c r="A31" t="s">
        <v>156</v>
      </c>
      <c r="B31" t="s">
        <v>65</v>
      </c>
    </row>
    <row r="32" spans="1:31" x14ac:dyDescent="0.25">
      <c r="A32" t="s">
        <v>157</v>
      </c>
      <c r="B32" t="s">
        <v>275</v>
      </c>
    </row>
    <row r="33" spans="1:2" x14ac:dyDescent="0.25">
      <c r="A33" t="s">
        <v>222</v>
      </c>
      <c r="B33" t="s">
        <v>286</v>
      </c>
    </row>
  </sheetData>
  <mergeCells count="5">
    <mergeCell ref="B2:B3"/>
    <mergeCell ref="D2:D3"/>
    <mergeCell ref="E1:AD1"/>
    <mergeCell ref="C2:C3"/>
    <mergeCell ref="A1:A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B759-5AFC-40FF-AE16-B61F53B378D8}">
  <sheetPr codeName="Sheet12">
    <tabColor theme="9" tint="0.79998168889431442"/>
  </sheetPr>
  <dimension ref="A1:AD37"/>
  <sheetViews>
    <sheetView workbookViewId="0">
      <selection activeCell="D10" sqref="D10"/>
    </sheetView>
  </sheetViews>
  <sheetFormatPr defaultRowHeight="15" x14ac:dyDescent="0.25"/>
  <cols>
    <col min="2" max="2" width="91.5703125" customWidth="1"/>
    <col min="3" max="3" width="12.28515625" customWidth="1"/>
    <col min="4" max="4" width="10.5703125" customWidth="1"/>
    <col min="5" max="5" width="10.85546875" customWidth="1"/>
  </cols>
  <sheetData>
    <row r="1" spans="1:30" x14ac:dyDescent="0.25">
      <c r="A1" s="42" t="s">
        <v>117</v>
      </c>
      <c r="B1" s="15" t="s">
        <v>106</v>
      </c>
      <c r="C1" s="15" t="s">
        <v>118</v>
      </c>
      <c r="D1" s="15"/>
      <c r="E1" s="42" t="s">
        <v>5</v>
      </c>
      <c r="F1" s="42"/>
      <c r="G1" s="42"/>
      <c r="H1" s="42"/>
      <c r="I1" s="42"/>
      <c r="J1" s="42"/>
      <c r="K1" s="42"/>
      <c r="L1" s="42"/>
      <c r="M1" s="42"/>
      <c r="N1" s="42"/>
      <c r="O1" s="42"/>
      <c r="P1" s="42"/>
      <c r="Q1" s="42"/>
      <c r="R1" s="42"/>
      <c r="S1" s="42"/>
      <c r="T1" s="42"/>
      <c r="U1" s="42"/>
      <c r="V1" s="42"/>
      <c r="W1" s="42"/>
      <c r="X1" s="42"/>
      <c r="Y1" s="42"/>
      <c r="Z1" s="42"/>
      <c r="AA1" s="42"/>
      <c r="AB1" s="42"/>
      <c r="AC1" s="42"/>
      <c r="AD1" s="42"/>
    </row>
    <row r="2" spans="1:30"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row>
    <row r="3" spans="1:30"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row>
    <row r="4" spans="1:30" x14ac:dyDescent="0.25">
      <c r="A4" t="s">
        <v>230</v>
      </c>
      <c r="B4" t="s">
        <v>313</v>
      </c>
      <c r="C4" t="s">
        <v>120</v>
      </c>
      <c r="D4" s="18">
        <f>E4+NPV(0.05,F4:L4)</f>
        <v>37516836.597897075</v>
      </c>
      <c r="E4" s="18">
        <f>44226080/8</f>
        <v>5528260</v>
      </c>
      <c r="F4" s="18">
        <f t="shared" ref="F4:L4" si="0">44226080/8</f>
        <v>5528260</v>
      </c>
      <c r="G4" s="18">
        <f t="shared" si="0"/>
        <v>5528260</v>
      </c>
      <c r="H4" s="18">
        <f t="shared" si="0"/>
        <v>5528260</v>
      </c>
      <c r="I4" s="18">
        <f t="shared" si="0"/>
        <v>5528260</v>
      </c>
      <c r="J4" s="18">
        <f t="shared" si="0"/>
        <v>5528260</v>
      </c>
      <c r="K4" s="18">
        <f t="shared" si="0"/>
        <v>5528260</v>
      </c>
      <c r="L4" s="18">
        <f t="shared" si="0"/>
        <v>5528260</v>
      </c>
      <c r="M4" s="18"/>
      <c r="N4" s="18"/>
      <c r="O4" s="18"/>
      <c r="P4" s="18"/>
      <c r="Q4" s="18"/>
      <c r="R4" s="18"/>
      <c r="S4" s="18"/>
      <c r="T4" s="18"/>
      <c r="U4" s="18"/>
      <c r="V4" s="22"/>
      <c r="W4" s="22"/>
      <c r="X4" s="22"/>
      <c r="Y4" s="22"/>
      <c r="Z4" s="22"/>
      <c r="AA4" s="22"/>
      <c r="AB4" s="22"/>
      <c r="AC4" s="22"/>
      <c r="AD4" s="22"/>
    </row>
    <row r="5" spans="1:30" x14ac:dyDescent="0.25">
      <c r="A5" t="s">
        <v>204</v>
      </c>
      <c r="B5" t="s">
        <v>320</v>
      </c>
      <c r="C5" t="s">
        <v>120</v>
      </c>
      <c r="D5" s="18">
        <f>E5+NPV(0.05,F5:L5)</f>
        <v>32427056.549848899</v>
      </c>
      <c r="E5" s="18">
        <f>38226080/8</f>
        <v>4778260</v>
      </c>
      <c r="F5" s="18">
        <f t="shared" ref="F5:L5" si="1">38226080/8</f>
        <v>4778260</v>
      </c>
      <c r="G5" s="18">
        <f t="shared" si="1"/>
        <v>4778260</v>
      </c>
      <c r="H5" s="18">
        <f t="shared" si="1"/>
        <v>4778260</v>
      </c>
      <c r="I5" s="18">
        <f t="shared" si="1"/>
        <v>4778260</v>
      </c>
      <c r="J5" s="18">
        <f t="shared" si="1"/>
        <v>4778260</v>
      </c>
      <c r="K5" s="18">
        <f t="shared" si="1"/>
        <v>4778260</v>
      </c>
      <c r="L5" s="18">
        <f t="shared" si="1"/>
        <v>4778260</v>
      </c>
      <c r="M5" s="18"/>
      <c r="N5" s="18"/>
      <c r="O5" s="18"/>
      <c r="P5" s="18"/>
      <c r="Q5" s="18"/>
      <c r="R5" s="18"/>
      <c r="S5" s="18"/>
      <c r="T5" s="18"/>
      <c r="U5" s="18"/>
      <c r="V5" s="22"/>
      <c r="W5" s="22"/>
      <c r="X5" s="22"/>
      <c r="Y5" s="22"/>
      <c r="Z5" s="22"/>
      <c r="AA5" s="22"/>
      <c r="AB5" s="22"/>
      <c r="AC5" s="22"/>
      <c r="AD5" s="22"/>
    </row>
    <row r="6" spans="1:30" x14ac:dyDescent="0.25">
      <c r="A6" t="s">
        <v>161</v>
      </c>
      <c r="B6" t="s">
        <v>310</v>
      </c>
      <c r="C6" t="s">
        <v>120</v>
      </c>
      <c r="D6" s="18">
        <f>D15+D14</f>
        <v>59995487.224481054</v>
      </c>
      <c r="E6" s="18">
        <f t="shared" ref="E6:AD6" si="2">E15+E14</f>
        <v>0</v>
      </c>
      <c r="F6" s="18">
        <f t="shared" si="2"/>
        <v>256198.15199999997</v>
      </c>
      <c r="G6" s="18">
        <f t="shared" si="2"/>
        <v>527314.11600000004</v>
      </c>
      <c r="H6" s="18">
        <f t="shared" si="2"/>
        <v>1173213.4214699999</v>
      </c>
      <c r="I6" s="18">
        <f t="shared" si="2"/>
        <v>1869811.2896742001</v>
      </c>
      <c r="J6" s="18">
        <f t="shared" si="2"/>
        <v>2615420.243238369</v>
      </c>
      <c r="K6" s="18">
        <f t="shared" si="2"/>
        <v>3412684.693489762</v>
      </c>
      <c r="L6" s="18">
        <f t="shared" si="2"/>
        <v>4264377.8721998027</v>
      </c>
      <c r="M6" s="18">
        <f t="shared" si="2"/>
        <v>4092510.3960000002</v>
      </c>
      <c r="N6" s="18">
        <f t="shared" si="2"/>
        <v>4243113.1319999993</v>
      </c>
      <c r="O6" s="18">
        <f>O15+O14</f>
        <v>4818758.6879999992</v>
      </c>
      <c r="P6" s="18">
        <f t="shared" si="2"/>
        <v>5096700.0920000002</v>
      </c>
      <c r="Q6" s="18">
        <f t="shared" si="2"/>
        <v>5987686.9044000003</v>
      </c>
      <c r="R6" s="18">
        <f t="shared" si="2"/>
        <v>6459879.2831999995</v>
      </c>
      <c r="S6" s="18">
        <f t="shared" si="2"/>
        <v>6958714.2780000009</v>
      </c>
      <c r="T6" s="18">
        <f t="shared" si="2"/>
        <v>7485518.4672000008</v>
      </c>
      <c r="U6" s="18">
        <f t="shared" si="2"/>
        <v>8041670.3744000001</v>
      </c>
      <c r="V6" s="18">
        <f t="shared" si="2"/>
        <v>7370597.1740000006</v>
      </c>
      <c r="W6" s="18">
        <f t="shared" si="2"/>
        <v>7641830.1619999995</v>
      </c>
      <c r="X6" s="18">
        <f t="shared" si="2"/>
        <v>7923040.4170000004</v>
      </c>
      <c r="Y6" s="18">
        <f t="shared" si="2"/>
        <v>7612489.4550000001</v>
      </c>
      <c r="Z6" s="18">
        <f t="shared" si="2"/>
        <v>7268341.4760000007</v>
      </c>
      <c r="AA6" s="18">
        <f t="shared" si="2"/>
        <v>6028653.0608000001</v>
      </c>
      <c r="AB6" s="18">
        <f t="shared" si="2"/>
        <v>4687875.9576000003</v>
      </c>
      <c r="AC6" s="18">
        <f t="shared" si="2"/>
        <v>3240256.1360000004</v>
      </c>
      <c r="AD6" s="18">
        <f t="shared" si="2"/>
        <v>1679747.6326000001</v>
      </c>
    </row>
    <row r="7" spans="1:30" x14ac:dyDescent="0.25">
      <c r="A7" t="s">
        <v>162</v>
      </c>
      <c r="B7" t="s">
        <v>312</v>
      </c>
      <c r="C7" t="s">
        <v>120</v>
      </c>
      <c r="D7" s="18">
        <f>NPV(0.05,F7:AD7)</f>
        <v>46301131.915123053</v>
      </c>
      <c r="E7" s="18"/>
      <c r="F7" s="18">
        <f>F20+F22*0.5+F14+F26</f>
        <v>137832.576</v>
      </c>
      <c r="G7" s="18">
        <f t="shared" ref="G7:AD7" si="3">G20+G22*0.5+G14+G26</f>
        <v>283708.06800000003</v>
      </c>
      <c r="H7" s="18">
        <f t="shared" si="3"/>
        <v>631304.70866999996</v>
      </c>
      <c r="I7" s="18">
        <f t="shared" si="3"/>
        <v>1005711.4040742001</v>
      </c>
      <c r="J7" s="18">
        <f t="shared" si="3"/>
        <v>1406149.8796383692</v>
      </c>
      <c r="K7" s="18">
        <f t="shared" si="3"/>
        <v>1834010.4182897618</v>
      </c>
      <c r="L7" s="18">
        <f t="shared" si="3"/>
        <v>2290750.4241998028</v>
      </c>
      <c r="M7" s="18">
        <f t="shared" si="3"/>
        <v>2046255.1980000001</v>
      </c>
      <c r="N7" s="18">
        <f t="shared" si="3"/>
        <v>2121556.5659999996</v>
      </c>
      <c r="O7" s="18">
        <f t="shared" si="3"/>
        <v>2619130.8719999995</v>
      </c>
      <c r="P7" s="18">
        <f t="shared" si="3"/>
        <v>2983290.3560000001</v>
      </c>
      <c r="Q7" s="18">
        <f t="shared" si="3"/>
        <v>3969819.6024000002</v>
      </c>
      <c r="R7" s="18">
        <f t="shared" si="3"/>
        <v>4786180.9391999999</v>
      </c>
      <c r="S7" s="18">
        <f t="shared" si="3"/>
        <v>5657247.6240000008</v>
      </c>
      <c r="T7" s="18">
        <f t="shared" si="3"/>
        <v>6585945.4608000014</v>
      </c>
      <c r="U7" s="18">
        <f t="shared" si="3"/>
        <v>7575332.1991999997</v>
      </c>
      <c r="V7" s="18">
        <f t="shared" si="3"/>
        <v>7370597.1740000006</v>
      </c>
      <c r="W7" s="18">
        <f t="shared" si="3"/>
        <v>7641830.1619999995</v>
      </c>
      <c r="X7" s="18">
        <f t="shared" si="3"/>
        <v>7923040.4170000004</v>
      </c>
      <c r="Y7" s="18">
        <f t="shared" si="3"/>
        <v>7612489.4550000001</v>
      </c>
      <c r="Z7" s="18">
        <f t="shared" si="3"/>
        <v>7268341.4760000007</v>
      </c>
      <c r="AA7" s="18">
        <f t="shared" si="3"/>
        <v>6028653.0608000001</v>
      </c>
      <c r="AB7" s="18">
        <f t="shared" si="3"/>
        <v>4687875.9576000003</v>
      </c>
      <c r="AC7" s="18">
        <f t="shared" si="3"/>
        <v>3240256.1360000004</v>
      </c>
      <c r="AD7" s="18">
        <f t="shared" si="3"/>
        <v>1679747.6326000001</v>
      </c>
    </row>
    <row r="9" spans="1:30" x14ac:dyDescent="0.25">
      <c r="A9" t="s">
        <v>121</v>
      </c>
      <c r="B9" t="s">
        <v>178</v>
      </c>
      <c r="C9" t="s">
        <v>120</v>
      </c>
      <c r="D9" s="20">
        <f>D6-D4</f>
        <v>22478650.626583979</v>
      </c>
    </row>
    <row r="10" spans="1:30" x14ac:dyDescent="0.25">
      <c r="A10" t="s">
        <v>244</v>
      </c>
      <c r="B10" t="s">
        <v>247</v>
      </c>
      <c r="C10" t="s">
        <v>126</v>
      </c>
      <c r="D10" s="21">
        <f>D6/D4</f>
        <v>1.599161674197338</v>
      </c>
    </row>
    <row r="11" spans="1:30" x14ac:dyDescent="0.25">
      <c r="A11" t="s">
        <v>245</v>
      </c>
      <c r="B11" t="s">
        <v>248</v>
      </c>
      <c r="C11" t="s">
        <v>126</v>
      </c>
      <c r="D11" s="21">
        <f>D10</f>
        <v>1.599161674197338</v>
      </c>
      <c r="E11" t="s">
        <v>332</v>
      </c>
    </row>
    <row r="12" spans="1:30" x14ac:dyDescent="0.25">
      <c r="A12" t="s">
        <v>246</v>
      </c>
      <c r="B12" t="s">
        <v>249</v>
      </c>
      <c r="C12" t="s">
        <v>126</v>
      </c>
      <c r="D12" s="21">
        <f>D7/D5</f>
        <v>1.4278549101102056</v>
      </c>
    </row>
    <row r="14" spans="1:30" x14ac:dyDescent="0.25">
      <c r="A14" t="s">
        <v>122</v>
      </c>
      <c r="B14" t="s">
        <v>124</v>
      </c>
      <c r="C14" t="s">
        <v>120</v>
      </c>
      <c r="D14" s="18">
        <f>NPV(0.05,F14:AD14)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row>
    <row r="15" spans="1:30" x14ac:dyDescent="0.25">
      <c r="A15" t="s">
        <v>123</v>
      </c>
      <c r="B15" t="s">
        <v>125</v>
      </c>
      <c r="C15" t="s">
        <v>120</v>
      </c>
      <c r="D15" s="18">
        <f>D17+D24</f>
        <v>59995487.224481054</v>
      </c>
      <c r="E15" s="18">
        <f t="shared" ref="E15:AD15" si="4">E17+E24</f>
        <v>0</v>
      </c>
      <c r="F15" s="18">
        <f t="shared" si="4"/>
        <v>256198.15199999997</v>
      </c>
      <c r="G15" s="18">
        <f t="shared" si="4"/>
        <v>527314.11600000004</v>
      </c>
      <c r="H15" s="18">
        <f t="shared" si="4"/>
        <v>1173213.4214699999</v>
      </c>
      <c r="I15" s="18">
        <f t="shared" si="4"/>
        <v>1869811.2896742001</v>
      </c>
      <c r="J15" s="18">
        <f t="shared" si="4"/>
        <v>2615420.243238369</v>
      </c>
      <c r="K15" s="18">
        <f t="shared" si="4"/>
        <v>3412684.693489762</v>
      </c>
      <c r="L15" s="18">
        <f t="shared" si="4"/>
        <v>4264377.8721998027</v>
      </c>
      <c r="M15" s="18">
        <f t="shared" si="4"/>
        <v>4092510.3960000002</v>
      </c>
      <c r="N15" s="18">
        <f t="shared" si="4"/>
        <v>4243113.1319999993</v>
      </c>
      <c r="O15" s="18">
        <f t="shared" si="4"/>
        <v>4818758.6879999992</v>
      </c>
      <c r="P15" s="18">
        <f t="shared" si="4"/>
        <v>5096700.0920000002</v>
      </c>
      <c r="Q15" s="18">
        <f t="shared" si="4"/>
        <v>5987686.9044000003</v>
      </c>
      <c r="R15" s="18">
        <f t="shared" si="4"/>
        <v>6459879.2831999995</v>
      </c>
      <c r="S15" s="18">
        <f t="shared" si="4"/>
        <v>6958714.2780000009</v>
      </c>
      <c r="T15" s="18">
        <f t="shared" si="4"/>
        <v>7485518.4672000008</v>
      </c>
      <c r="U15" s="18">
        <f t="shared" si="4"/>
        <v>8041670.3744000001</v>
      </c>
      <c r="V15" s="18">
        <f t="shared" si="4"/>
        <v>7370597.1740000006</v>
      </c>
      <c r="W15" s="18">
        <f t="shared" si="4"/>
        <v>7641830.1619999995</v>
      </c>
      <c r="X15" s="18">
        <f t="shared" si="4"/>
        <v>7923040.4170000004</v>
      </c>
      <c r="Y15" s="18">
        <f t="shared" si="4"/>
        <v>7612489.4550000001</v>
      </c>
      <c r="Z15" s="18">
        <f t="shared" si="4"/>
        <v>7268341.4760000007</v>
      </c>
      <c r="AA15" s="18">
        <f t="shared" si="4"/>
        <v>6028653.0608000001</v>
      </c>
      <c r="AB15" s="18">
        <f t="shared" si="4"/>
        <v>4687875.9576000003</v>
      </c>
      <c r="AC15" s="18">
        <f t="shared" si="4"/>
        <v>3240256.1360000004</v>
      </c>
      <c r="AD15" s="18">
        <f t="shared" si="4"/>
        <v>1679747.6326000001</v>
      </c>
    </row>
    <row r="17" spans="1:30" x14ac:dyDescent="0.25">
      <c r="A17" s="2" t="s">
        <v>127</v>
      </c>
      <c r="B17" s="2" t="s">
        <v>242</v>
      </c>
      <c r="C17" s="2"/>
      <c r="D17" s="23">
        <f>SUM(D20,D22)</f>
        <v>59176676.348807305</v>
      </c>
      <c r="E17" s="23">
        <f t="shared" ref="E17:AD17" si="5">SUM(E20,E22)</f>
        <v>0</v>
      </c>
      <c r="F17" s="23">
        <f t="shared" si="5"/>
        <v>236731.15199999997</v>
      </c>
      <c r="G17" s="23">
        <f t="shared" si="5"/>
        <v>487212.09600000002</v>
      </c>
      <c r="H17" s="23">
        <f t="shared" si="5"/>
        <v>1083817.4256</v>
      </c>
      <c r="I17" s="23">
        <f t="shared" si="5"/>
        <v>1728199.7712000001</v>
      </c>
      <c r="J17" s="23">
        <f t="shared" si="5"/>
        <v>2418540.7272000001</v>
      </c>
      <c r="K17" s="23">
        <f t="shared" si="5"/>
        <v>3157348.5504000005</v>
      </c>
      <c r="L17" s="23">
        <f t="shared" si="5"/>
        <v>3947254.8960000002</v>
      </c>
      <c r="M17" s="23">
        <f t="shared" si="5"/>
        <v>4092510.3960000002</v>
      </c>
      <c r="N17" s="23">
        <f t="shared" si="5"/>
        <v>4243113.1319999993</v>
      </c>
      <c r="O17" s="23">
        <f t="shared" si="5"/>
        <v>4818758.6879999992</v>
      </c>
      <c r="P17" s="23">
        <f t="shared" si="5"/>
        <v>5096700.0920000002</v>
      </c>
      <c r="Q17" s="23">
        <f t="shared" si="5"/>
        <v>5987686.9044000003</v>
      </c>
      <c r="R17" s="23">
        <f t="shared" si="5"/>
        <v>6459879.2831999995</v>
      </c>
      <c r="S17" s="23">
        <f t="shared" si="5"/>
        <v>6958714.2780000009</v>
      </c>
      <c r="T17" s="23">
        <f t="shared" si="5"/>
        <v>7485518.4672000008</v>
      </c>
      <c r="U17" s="23">
        <f t="shared" si="5"/>
        <v>8041670.3744000001</v>
      </c>
      <c r="V17" s="23">
        <f t="shared" si="5"/>
        <v>7370597.1740000006</v>
      </c>
      <c r="W17" s="23">
        <f t="shared" si="5"/>
        <v>7641830.1619999995</v>
      </c>
      <c r="X17" s="23">
        <f t="shared" si="5"/>
        <v>7923040.4170000004</v>
      </c>
      <c r="Y17" s="23">
        <f t="shared" si="5"/>
        <v>7612489.4550000001</v>
      </c>
      <c r="Z17" s="23">
        <f t="shared" si="5"/>
        <v>7268341.4760000007</v>
      </c>
      <c r="AA17" s="23">
        <f t="shared" si="5"/>
        <v>6028653.0608000001</v>
      </c>
      <c r="AB17" s="23">
        <f t="shared" si="5"/>
        <v>4687875.9576000003</v>
      </c>
      <c r="AC17" s="23">
        <f t="shared" si="5"/>
        <v>3240256.1360000004</v>
      </c>
      <c r="AD17" s="23">
        <f t="shared" si="5"/>
        <v>1679747.6326000001</v>
      </c>
    </row>
    <row r="18" spans="1:30" x14ac:dyDescent="0.25">
      <c r="A18" t="s">
        <v>129</v>
      </c>
      <c r="B18" t="s">
        <v>60</v>
      </c>
      <c r="C18" t="s">
        <v>144</v>
      </c>
      <c r="D18" s="19">
        <v>1910</v>
      </c>
      <c r="E18" s="19"/>
      <c r="F18" s="19">
        <f>G18/2</f>
        <v>140</v>
      </c>
      <c r="G18" s="19">
        <v>280</v>
      </c>
      <c r="H18" s="17">
        <f>G18+($L$18-$G$18)/5</f>
        <v>606</v>
      </c>
      <c r="I18" s="17">
        <f>H18+($L$18-$G$18)/5</f>
        <v>932</v>
      </c>
      <c r="J18" s="17">
        <f>I18+($L$18-$G$18)/5</f>
        <v>1258</v>
      </c>
      <c r="K18" s="17">
        <f>J18+($L$18-$G$18)/5</f>
        <v>1584</v>
      </c>
      <c r="L18" s="19">
        <v>1910</v>
      </c>
      <c r="M18" s="19"/>
      <c r="N18" s="19"/>
      <c r="O18" s="19"/>
      <c r="P18" s="19"/>
      <c r="Q18" s="19"/>
      <c r="R18" s="19"/>
      <c r="S18" s="19"/>
      <c r="T18" s="19"/>
      <c r="U18" s="19"/>
      <c r="V18" s="19"/>
      <c r="W18" s="19"/>
      <c r="X18" s="19"/>
      <c r="Y18" s="19"/>
      <c r="Z18" s="19"/>
      <c r="AA18" s="19"/>
      <c r="AB18" s="19"/>
      <c r="AC18" s="19"/>
      <c r="AD18" s="19"/>
    </row>
    <row r="19" spans="1:30" x14ac:dyDescent="0.25">
      <c r="A19" t="s">
        <v>130</v>
      </c>
      <c r="B19" s="1" t="s">
        <v>214</v>
      </c>
      <c r="C19" t="s">
        <v>144</v>
      </c>
      <c r="D19" s="19">
        <v>1910</v>
      </c>
      <c r="E19" s="19"/>
      <c r="F19" s="19"/>
      <c r="G19" s="19"/>
      <c r="H19" s="19"/>
      <c r="I19" s="19"/>
      <c r="J19" s="19"/>
      <c r="K19" s="19"/>
      <c r="L19" s="19"/>
      <c r="M19" s="19"/>
      <c r="N19" s="19"/>
      <c r="O19" s="19">
        <f>F18</f>
        <v>140</v>
      </c>
      <c r="P19" s="19">
        <f t="shared" ref="P19:U19" si="6">G18</f>
        <v>280</v>
      </c>
      <c r="Q19" s="19">
        <f t="shared" si="6"/>
        <v>606</v>
      </c>
      <c r="R19" s="19">
        <f t="shared" si="6"/>
        <v>932</v>
      </c>
      <c r="S19" s="19">
        <f t="shared" si="6"/>
        <v>1258</v>
      </c>
      <c r="T19" s="19">
        <f t="shared" si="6"/>
        <v>1584</v>
      </c>
      <c r="U19" s="19">
        <f t="shared" si="6"/>
        <v>1910</v>
      </c>
      <c r="V19" s="17">
        <f>U19</f>
        <v>1910</v>
      </c>
      <c r="W19" s="17">
        <f t="shared" ref="W19:X19" si="7">V19</f>
        <v>1910</v>
      </c>
      <c r="X19" s="17">
        <f t="shared" si="7"/>
        <v>1910</v>
      </c>
      <c r="Y19" s="17">
        <f>W19-O19</f>
        <v>1770</v>
      </c>
      <c r="Z19" s="17">
        <f>X19-P19</f>
        <v>1630</v>
      </c>
      <c r="AA19" s="17">
        <f>X19-Q19</f>
        <v>1304</v>
      </c>
      <c r="AB19" s="17">
        <f>W19-R19</f>
        <v>978</v>
      </c>
      <c r="AC19" s="17">
        <f>X19-S19</f>
        <v>652</v>
      </c>
      <c r="AD19" s="17">
        <f>U19-T19</f>
        <v>326</v>
      </c>
    </row>
    <row r="20" spans="1:30" x14ac:dyDescent="0.25">
      <c r="A20" t="s">
        <v>213</v>
      </c>
      <c r="B20" t="s">
        <v>198</v>
      </c>
      <c r="C20" t="s">
        <v>120</v>
      </c>
      <c r="D20" s="18">
        <f>NPV(0.05,F20:AD20)</f>
        <v>31787965.730091307</v>
      </c>
      <c r="E20" s="18">
        <f>E19*0.45*E30+E19*0.4*0.4*E31</f>
        <v>0</v>
      </c>
      <c r="F20" s="18">
        <f t="shared" ref="F20:AD20" si="8">F19*0.45*F30+F19*0.4*0.4*F31</f>
        <v>0</v>
      </c>
      <c r="G20" s="18">
        <f t="shared" si="8"/>
        <v>0</v>
      </c>
      <c r="H20" s="18">
        <f t="shared" si="8"/>
        <v>0</v>
      </c>
      <c r="I20" s="18">
        <f t="shared" si="8"/>
        <v>0</v>
      </c>
      <c r="J20" s="18">
        <f t="shared" si="8"/>
        <v>0</v>
      </c>
      <c r="K20" s="18">
        <f t="shared" si="8"/>
        <v>0</v>
      </c>
      <c r="L20" s="18">
        <f t="shared" si="8"/>
        <v>0</v>
      </c>
      <c r="M20" s="18">
        <f t="shared" si="8"/>
        <v>0</v>
      </c>
      <c r="N20" s="18">
        <f t="shared" si="8"/>
        <v>0</v>
      </c>
      <c r="O20" s="18">
        <f t="shared" si="8"/>
        <v>419503.05599999998</v>
      </c>
      <c r="P20" s="18">
        <f t="shared" si="8"/>
        <v>869880.62000000011</v>
      </c>
      <c r="Q20" s="18">
        <f t="shared" si="8"/>
        <v>1951952.3004000001</v>
      </c>
      <c r="R20" s="18">
        <f t="shared" si="8"/>
        <v>3112482.5952000003</v>
      </c>
      <c r="S20" s="18">
        <f t="shared" si="8"/>
        <v>4355780.9700000007</v>
      </c>
      <c r="T20" s="18">
        <f t="shared" si="8"/>
        <v>5686372.4544000011</v>
      </c>
      <c r="U20" s="18">
        <f t="shared" si="8"/>
        <v>7108994.0240000002</v>
      </c>
      <c r="V20" s="18">
        <f t="shared" si="8"/>
        <v>7370597.1740000006</v>
      </c>
      <c r="W20" s="18">
        <f t="shared" si="8"/>
        <v>7641830.1619999995</v>
      </c>
      <c r="X20" s="18">
        <f t="shared" si="8"/>
        <v>7923040.4170000004</v>
      </c>
      <c r="Y20" s="18">
        <f t="shared" si="8"/>
        <v>7612489.4550000001</v>
      </c>
      <c r="Z20" s="18">
        <f t="shared" si="8"/>
        <v>7268341.4760000007</v>
      </c>
      <c r="AA20" s="18">
        <f t="shared" si="8"/>
        <v>6028653.0608000001</v>
      </c>
      <c r="AB20" s="18">
        <f t="shared" si="8"/>
        <v>4687875.9576000003</v>
      </c>
      <c r="AC20" s="18">
        <f t="shared" si="8"/>
        <v>3240256.1360000004</v>
      </c>
      <c r="AD20" s="18">
        <f t="shared" si="8"/>
        <v>1679747.6326000001</v>
      </c>
    </row>
    <row r="21" spans="1:30" x14ac:dyDescent="0.25">
      <c r="A21" s="7" t="s">
        <v>131</v>
      </c>
      <c r="B21" t="s">
        <v>212</v>
      </c>
      <c r="C21" t="s">
        <v>144</v>
      </c>
      <c r="D21" s="19">
        <v>1528</v>
      </c>
      <c r="E21" s="19"/>
      <c r="F21" s="17">
        <f>G21/2</f>
        <v>112</v>
      </c>
      <c r="G21" s="17">
        <v>224</v>
      </c>
      <c r="H21" s="17">
        <f>G21+($L$21-$G$21)/5</f>
        <v>484.8</v>
      </c>
      <c r="I21" s="17">
        <f>H21+($L$21-$G$21)/5</f>
        <v>745.6</v>
      </c>
      <c r="J21" s="17">
        <f>I21+($L$21-$G$21)/5</f>
        <v>1006.4000000000001</v>
      </c>
      <c r="K21" s="17">
        <f>J21+($L$21-$G$21)/5</f>
        <v>1267.2</v>
      </c>
      <c r="L21" s="17">
        <v>1528</v>
      </c>
      <c r="M21" s="17">
        <v>1528</v>
      </c>
      <c r="N21" s="17">
        <v>1528</v>
      </c>
      <c r="O21" s="17">
        <v>1528</v>
      </c>
      <c r="P21" s="17">
        <f>L21-F21</f>
        <v>1416</v>
      </c>
      <c r="Q21" s="17">
        <f>L21-G21</f>
        <v>1304</v>
      </c>
      <c r="R21" s="17">
        <f>L21-H21</f>
        <v>1043.2</v>
      </c>
      <c r="S21" s="17">
        <f>L21-I21</f>
        <v>782.4</v>
      </c>
      <c r="T21" s="17">
        <f>L21-J21</f>
        <v>521.59999999999991</v>
      </c>
      <c r="U21" s="17">
        <f>L21-K21</f>
        <v>260.79999999999995</v>
      </c>
      <c r="V21" s="19"/>
      <c r="W21" s="19"/>
      <c r="X21" s="19"/>
      <c r="Y21" s="19"/>
      <c r="Z21" s="19"/>
      <c r="AA21" s="19"/>
      <c r="AB21" s="19"/>
      <c r="AC21" s="19"/>
      <c r="AD21" s="19"/>
    </row>
    <row r="22" spans="1:30" x14ac:dyDescent="0.25">
      <c r="A22" s="7" t="s">
        <v>132</v>
      </c>
      <c r="B22" t="s">
        <v>206</v>
      </c>
      <c r="C22" t="s">
        <v>120</v>
      </c>
      <c r="D22" s="18">
        <f>NPV(0.05,F22:AD22)</f>
        <v>27388710.618716002</v>
      </c>
      <c r="E22" s="18">
        <f>E21*E29</f>
        <v>0</v>
      </c>
      <c r="F22" s="18">
        <f t="shared" ref="F22:AD22" si="9">F21*F29</f>
        <v>236731.15199999997</v>
      </c>
      <c r="G22" s="18">
        <f t="shared" si="9"/>
        <v>487212.09600000002</v>
      </c>
      <c r="H22" s="18">
        <f t="shared" si="9"/>
        <v>1083817.4256</v>
      </c>
      <c r="I22" s="18">
        <f t="shared" si="9"/>
        <v>1728199.7712000001</v>
      </c>
      <c r="J22" s="18">
        <f t="shared" si="9"/>
        <v>2418540.7272000001</v>
      </c>
      <c r="K22" s="18">
        <f t="shared" si="9"/>
        <v>3157348.5504000005</v>
      </c>
      <c r="L22" s="18">
        <f t="shared" si="9"/>
        <v>3947254.8960000002</v>
      </c>
      <c r="M22" s="18">
        <f t="shared" si="9"/>
        <v>4092510.3960000002</v>
      </c>
      <c r="N22" s="18">
        <f t="shared" si="9"/>
        <v>4243113.1319999993</v>
      </c>
      <c r="O22" s="18">
        <f t="shared" si="9"/>
        <v>4399255.6319999993</v>
      </c>
      <c r="P22" s="18">
        <f t="shared" si="9"/>
        <v>4226819.4720000001</v>
      </c>
      <c r="Q22" s="18">
        <f t="shared" si="9"/>
        <v>4035734.6039999998</v>
      </c>
      <c r="R22" s="18">
        <f t="shared" si="9"/>
        <v>3347396.6879999996</v>
      </c>
      <c r="S22" s="18">
        <f t="shared" si="9"/>
        <v>2602933.3079999997</v>
      </c>
      <c r="T22" s="18">
        <f t="shared" si="9"/>
        <v>1799146.0127999997</v>
      </c>
      <c r="U22" s="18">
        <f t="shared" si="9"/>
        <v>932676.35039999976</v>
      </c>
      <c r="V22" s="18">
        <f t="shared" si="9"/>
        <v>0</v>
      </c>
      <c r="W22" s="18">
        <f t="shared" si="9"/>
        <v>0</v>
      </c>
      <c r="X22" s="18">
        <f t="shared" si="9"/>
        <v>0</v>
      </c>
      <c r="Y22" s="18">
        <f t="shared" si="9"/>
        <v>0</v>
      </c>
      <c r="Z22" s="18">
        <f t="shared" si="9"/>
        <v>0</v>
      </c>
      <c r="AA22" s="18">
        <f t="shared" si="9"/>
        <v>0</v>
      </c>
      <c r="AB22" s="18">
        <f t="shared" si="9"/>
        <v>0</v>
      </c>
      <c r="AC22" s="18">
        <f t="shared" si="9"/>
        <v>0</v>
      </c>
      <c r="AD22" s="18">
        <f t="shared" si="9"/>
        <v>0</v>
      </c>
    </row>
    <row r="23" spans="1:30" x14ac:dyDescent="0.25">
      <c r="A23" s="7"/>
      <c r="F23" s="3"/>
      <c r="G23" s="3"/>
      <c r="H23" s="3"/>
      <c r="I23" s="3"/>
      <c r="J23" s="3"/>
      <c r="K23" s="3"/>
      <c r="L23" s="3"/>
      <c r="M23" s="3"/>
      <c r="N23" s="3"/>
      <c r="O23" s="3"/>
      <c r="P23" s="3"/>
      <c r="Q23" s="3"/>
      <c r="R23" s="3"/>
      <c r="S23" s="3"/>
      <c r="T23" s="3"/>
      <c r="U23" s="3"/>
    </row>
    <row r="24" spans="1:30" x14ac:dyDescent="0.25">
      <c r="A24" s="2" t="s">
        <v>135</v>
      </c>
      <c r="B24" s="2" t="s">
        <v>128</v>
      </c>
      <c r="C24" s="2"/>
      <c r="D24" s="23">
        <f>D26</f>
        <v>818810.87567374588</v>
      </c>
      <c r="E24" s="23">
        <f t="shared" ref="E24:AD24" si="10">E26</f>
        <v>0</v>
      </c>
      <c r="F24" s="23">
        <f t="shared" si="10"/>
        <v>19467</v>
      </c>
      <c r="G24" s="23">
        <f t="shared" si="10"/>
        <v>40102.020000000004</v>
      </c>
      <c r="H24" s="23">
        <f t="shared" si="10"/>
        <v>89395.995870000013</v>
      </c>
      <c r="I24" s="23">
        <f t="shared" si="10"/>
        <v>141611.51847420001</v>
      </c>
      <c r="J24" s="23">
        <f t="shared" si="10"/>
        <v>196879.51603836904</v>
      </c>
      <c r="K24" s="23">
        <f t="shared" si="10"/>
        <v>255336.1430897614</v>
      </c>
      <c r="L24" s="23">
        <f t="shared" si="10"/>
        <v>317122.97619980277</v>
      </c>
      <c r="M24" s="23">
        <f t="shared" si="10"/>
        <v>0</v>
      </c>
      <c r="N24" s="23">
        <f t="shared" si="10"/>
        <v>0</v>
      </c>
      <c r="O24" s="23">
        <f t="shared" si="10"/>
        <v>0</v>
      </c>
      <c r="P24" s="23">
        <f t="shared" si="10"/>
        <v>0</v>
      </c>
      <c r="Q24" s="23">
        <f t="shared" si="10"/>
        <v>0</v>
      </c>
      <c r="R24" s="23">
        <f t="shared" si="10"/>
        <v>0</v>
      </c>
      <c r="S24" s="23">
        <f t="shared" si="10"/>
        <v>0</v>
      </c>
      <c r="T24" s="23">
        <f t="shared" si="10"/>
        <v>0</v>
      </c>
      <c r="U24" s="23">
        <f t="shared" si="10"/>
        <v>0</v>
      </c>
      <c r="V24" s="23">
        <f t="shared" si="10"/>
        <v>0</v>
      </c>
      <c r="W24" s="23">
        <f t="shared" si="10"/>
        <v>0</v>
      </c>
      <c r="X24" s="23">
        <f t="shared" si="10"/>
        <v>0</v>
      </c>
      <c r="Y24" s="23">
        <f t="shared" si="10"/>
        <v>0</v>
      </c>
      <c r="Z24" s="23">
        <f t="shared" si="10"/>
        <v>0</v>
      </c>
      <c r="AA24" s="23">
        <f t="shared" si="10"/>
        <v>0</v>
      </c>
      <c r="AB24" s="23">
        <f t="shared" si="10"/>
        <v>0</v>
      </c>
      <c r="AC24" s="23">
        <f t="shared" si="10"/>
        <v>0</v>
      </c>
      <c r="AD24" s="23">
        <f t="shared" si="10"/>
        <v>0</v>
      </c>
    </row>
    <row r="25" spans="1:30" x14ac:dyDescent="0.25">
      <c r="A25" s="7" t="s">
        <v>136</v>
      </c>
      <c r="B25" t="s">
        <v>68</v>
      </c>
      <c r="C25" t="s">
        <v>144</v>
      </c>
      <c r="D25" s="17">
        <f>SUM(F25:L25)</f>
        <v>3355</v>
      </c>
      <c r="E25" s="19"/>
      <c r="F25" s="17">
        <f>F18/2</f>
        <v>70</v>
      </c>
      <c r="G25" s="17">
        <f t="shared" ref="G25:L25" si="11">G18/2</f>
        <v>140</v>
      </c>
      <c r="H25" s="17">
        <f t="shared" si="11"/>
        <v>303</v>
      </c>
      <c r="I25" s="17">
        <f t="shared" si="11"/>
        <v>466</v>
      </c>
      <c r="J25" s="17">
        <f t="shared" si="11"/>
        <v>629</v>
      </c>
      <c r="K25" s="17">
        <f t="shared" si="11"/>
        <v>792</v>
      </c>
      <c r="L25" s="17">
        <f t="shared" si="11"/>
        <v>955</v>
      </c>
      <c r="M25" s="17"/>
      <c r="N25" s="17"/>
      <c r="O25" s="17"/>
      <c r="P25" s="17"/>
      <c r="Q25" s="17"/>
      <c r="R25" s="17"/>
      <c r="S25" s="17"/>
      <c r="T25" s="17"/>
      <c r="U25" s="17"/>
      <c r="V25" s="19"/>
      <c r="W25" s="19"/>
      <c r="X25" s="19"/>
      <c r="Y25" s="19"/>
      <c r="Z25" s="19"/>
      <c r="AA25" s="19"/>
      <c r="AB25" s="19"/>
      <c r="AC25" s="19"/>
      <c r="AD25" s="19"/>
    </row>
    <row r="26" spans="1:30" x14ac:dyDescent="0.25">
      <c r="A26" s="7" t="s">
        <v>140</v>
      </c>
      <c r="B26" t="s">
        <v>211</v>
      </c>
      <c r="C26" t="s">
        <v>120</v>
      </c>
      <c r="D26" s="18">
        <f>NPV(0.05,F26:AD26)</f>
        <v>818810.87567374588</v>
      </c>
      <c r="E26" s="18"/>
      <c r="F26" s="18">
        <f>F32*F25</f>
        <v>19467</v>
      </c>
      <c r="G26" s="18">
        <f t="shared" ref="G26:AD26" si="12">G32*G25</f>
        <v>40102.020000000004</v>
      </c>
      <c r="H26" s="18">
        <f t="shared" si="12"/>
        <v>89395.995870000013</v>
      </c>
      <c r="I26" s="18">
        <f t="shared" si="12"/>
        <v>141611.51847420001</v>
      </c>
      <c r="J26" s="18">
        <f t="shared" si="12"/>
        <v>196879.51603836904</v>
      </c>
      <c r="K26" s="18">
        <f t="shared" si="12"/>
        <v>255336.1430897614</v>
      </c>
      <c r="L26" s="18">
        <f t="shared" si="12"/>
        <v>317122.97619980277</v>
      </c>
      <c r="M26" s="18">
        <f t="shared" si="12"/>
        <v>0</v>
      </c>
      <c r="N26" s="18">
        <f t="shared" si="12"/>
        <v>0</v>
      </c>
      <c r="O26" s="18">
        <f t="shared" si="12"/>
        <v>0</v>
      </c>
      <c r="P26" s="18">
        <f t="shared" si="12"/>
        <v>0</v>
      </c>
      <c r="Q26" s="18">
        <f t="shared" si="12"/>
        <v>0</v>
      </c>
      <c r="R26" s="18">
        <f t="shared" si="12"/>
        <v>0</v>
      </c>
      <c r="S26" s="18">
        <f t="shared" si="12"/>
        <v>0</v>
      </c>
      <c r="T26" s="18">
        <f t="shared" si="12"/>
        <v>0</v>
      </c>
      <c r="U26" s="18">
        <f t="shared" si="12"/>
        <v>0</v>
      </c>
      <c r="V26" s="18">
        <f t="shared" si="12"/>
        <v>0</v>
      </c>
      <c r="W26" s="18">
        <f t="shared" si="12"/>
        <v>0</v>
      </c>
      <c r="X26" s="18">
        <f t="shared" si="12"/>
        <v>0</v>
      </c>
      <c r="Y26" s="18">
        <f t="shared" si="12"/>
        <v>0</v>
      </c>
      <c r="Z26" s="18">
        <f t="shared" si="12"/>
        <v>0</v>
      </c>
      <c r="AA26" s="18">
        <f t="shared" si="12"/>
        <v>0</v>
      </c>
      <c r="AB26" s="18">
        <f t="shared" si="12"/>
        <v>0</v>
      </c>
      <c r="AC26" s="18">
        <f t="shared" si="12"/>
        <v>0</v>
      </c>
      <c r="AD26" s="18">
        <f t="shared" si="12"/>
        <v>0</v>
      </c>
    </row>
    <row r="27" spans="1:30" x14ac:dyDescent="0.25">
      <c r="A27" s="7"/>
    </row>
    <row r="28" spans="1:30" x14ac:dyDescent="0.25">
      <c r="A28" s="2" t="s">
        <v>147</v>
      </c>
      <c r="B28" s="2" t="s">
        <v>6</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25">
      <c r="A29" t="s">
        <v>148</v>
      </c>
      <c r="B29" t="s">
        <v>49</v>
      </c>
      <c r="C29" t="s">
        <v>120</v>
      </c>
      <c r="D29" s="19"/>
      <c r="E29" s="17">
        <v>2036.8920000000001</v>
      </c>
      <c r="F29" s="17">
        <v>2113.6709999999998</v>
      </c>
      <c r="G29" s="17">
        <v>2175.0540000000001</v>
      </c>
      <c r="H29" s="17">
        <v>2235.5969999999998</v>
      </c>
      <c r="I29" s="17">
        <v>2317.8645000000001</v>
      </c>
      <c r="J29" s="17">
        <v>2403.1605</v>
      </c>
      <c r="K29" s="17">
        <v>2491.5945000000002</v>
      </c>
      <c r="L29" s="17">
        <v>2583.2820000000002</v>
      </c>
      <c r="M29" s="17">
        <v>2678.3445000000002</v>
      </c>
      <c r="N29" s="17">
        <v>2776.9064999999996</v>
      </c>
      <c r="O29" s="17">
        <v>2879.0939999999996</v>
      </c>
      <c r="P29" s="17">
        <v>2985.0419999999999</v>
      </c>
      <c r="Q29" s="17">
        <v>3094.8885</v>
      </c>
      <c r="R29" s="17">
        <v>3208.7774999999997</v>
      </c>
      <c r="S29" s="17">
        <v>3326.8574999999996</v>
      </c>
      <c r="T29" s="17">
        <v>3449.2829999999999</v>
      </c>
      <c r="U29" s="17">
        <v>3576.2129999999997</v>
      </c>
      <c r="V29" s="19"/>
      <c r="W29" s="19"/>
      <c r="X29" s="19"/>
      <c r="Y29" s="19"/>
      <c r="Z29" s="19"/>
      <c r="AA29" s="19"/>
      <c r="AB29" s="19"/>
      <c r="AC29" s="19"/>
      <c r="AD29" s="19"/>
    </row>
    <row r="30" spans="1:30" x14ac:dyDescent="0.25">
      <c r="A30" t="s">
        <v>149</v>
      </c>
      <c r="B30" s="1" t="s">
        <v>62</v>
      </c>
      <c r="C30" t="s">
        <v>120</v>
      </c>
      <c r="D30" s="19"/>
      <c r="E30" s="17">
        <v>915.36</v>
      </c>
      <c r="F30" s="17">
        <v>949.87</v>
      </c>
      <c r="G30" s="17">
        <v>977.45</v>
      </c>
      <c r="H30" s="17">
        <v>1004.66</v>
      </c>
      <c r="I30" s="17">
        <v>1041.6300000000001</v>
      </c>
      <c r="J30" s="17">
        <v>1079.96</v>
      </c>
      <c r="K30" s="17">
        <v>1119.7</v>
      </c>
      <c r="L30" s="17">
        <v>1160.9100000000001</v>
      </c>
      <c r="M30" s="17">
        <v>1203.6300000000001</v>
      </c>
      <c r="N30" s="17">
        <v>1247.92</v>
      </c>
      <c r="O30" s="17">
        <v>1293.8399999999999</v>
      </c>
      <c r="P30" s="17">
        <v>1341.45</v>
      </c>
      <c r="Q30" s="17">
        <v>1390.82</v>
      </c>
      <c r="R30" s="17">
        <v>1442</v>
      </c>
      <c r="S30" s="17">
        <v>1495.06</v>
      </c>
      <c r="T30" s="17">
        <v>1550.08</v>
      </c>
      <c r="U30" s="17">
        <v>1607.12</v>
      </c>
      <c r="V30" s="17">
        <v>1666.26</v>
      </c>
      <c r="W30" s="17">
        <v>1727.58</v>
      </c>
      <c r="X30" s="17">
        <v>1791.15</v>
      </c>
      <c r="Y30" s="17">
        <v>1857.07</v>
      </c>
      <c r="Z30" s="17">
        <v>1925.4</v>
      </c>
      <c r="AA30" s="17">
        <v>1996.26</v>
      </c>
      <c r="AB30" s="17">
        <v>2069.7199999999998</v>
      </c>
      <c r="AC30" s="17">
        <v>2145.88</v>
      </c>
      <c r="AD30" s="17">
        <v>2224.85</v>
      </c>
    </row>
    <row r="31" spans="1:30" x14ac:dyDescent="0.25">
      <c r="A31" t="s">
        <v>150</v>
      </c>
      <c r="B31" s="1" t="s">
        <v>44</v>
      </c>
      <c r="C31" t="s">
        <v>120</v>
      </c>
      <c r="D31" s="19"/>
      <c r="E31" s="17">
        <v>10675.04</v>
      </c>
      <c r="F31" s="17">
        <v>11077.42</v>
      </c>
      <c r="G31" s="17">
        <v>11399.13</v>
      </c>
      <c r="H31" s="17">
        <v>11716.42</v>
      </c>
      <c r="I31" s="17">
        <v>12147.57</v>
      </c>
      <c r="J31" s="17">
        <v>12594.59</v>
      </c>
      <c r="K31" s="17">
        <v>13058.06</v>
      </c>
      <c r="L31" s="17">
        <v>13538.59</v>
      </c>
      <c r="M31" s="17">
        <v>14036.8</v>
      </c>
      <c r="N31" s="17">
        <v>14553.34</v>
      </c>
      <c r="O31" s="17">
        <v>15088.89</v>
      </c>
      <c r="P31" s="17">
        <v>15644.15</v>
      </c>
      <c r="Q31" s="17">
        <v>16219.84</v>
      </c>
      <c r="R31" s="17">
        <v>16816.71</v>
      </c>
      <c r="S31" s="17">
        <v>17435.55</v>
      </c>
      <c r="T31" s="17">
        <v>18077.16</v>
      </c>
      <c r="U31" s="17">
        <v>18742.39</v>
      </c>
      <c r="V31" s="17">
        <v>19432.09</v>
      </c>
      <c r="W31" s="17">
        <v>20147.169999999998</v>
      </c>
      <c r="X31" s="17">
        <v>20888.57</v>
      </c>
      <c r="Y31" s="17">
        <v>21657.25</v>
      </c>
      <c r="Z31" s="17">
        <v>22454.22</v>
      </c>
      <c r="AA31" s="17">
        <v>23280.52</v>
      </c>
      <c r="AB31" s="17">
        <v>24137.22</v>
      </c>
      <c r="AC31" s="17">
        <v>25025.45</v>
      </c>
      <c r="AD31" s="17">
        <v>25946.36</v>
      </c>
    </row>
    <row r="32" spans="1:30" ht="45" x14ac:dyDescent="0.25">
      <c r="A32" t="s">
        <v>151</v>
      </c>
      <c r="B32" s="1" t="s">
        <v>69</v>
      </c>
      <c r="C32" t="s">
        <v>120</v>
      </c>
      <c r="D32" s="19"/>
      <c r="E32" s="17">
        <f>30*9</f>
        <v>270</v>
      </c>
      <c r="F32" s="17">
        <f>E32*1.03</f>
        <v>278.10000000000002</v>
      </c>
      <c r="G32" s="17">
        <f t="shared" ref="G32:U32" si="13">F32*1.03</f>
        <v>286.44300000000004</v>
      </c>
      <c r="H32" s="17">
        <f t="shared" si="13"/>
        <v>295.03629000000006</v>
      </c>
      <c r="I32" s="17">
        <f t="shared" si="13"/>
        <v>303.88737870000006</v>
      </c>
      <c r="J32" s="17">
        <f t="shared" si="13"/>
        <v>313.00400006100006</v>
      </c>
      <c r="K32" s="17">
        <f t="shared" si="13"/>
        <v>322.39412006283004</v>
      </c>
      <c r="L32" s="17">
        <f t="shared" si="13"/>
        <v>332.06594366471495</v>
      </c>
      <c r="M32" s="17">
        <f t="shared" si="13"/>
        <v>342.02792197465641</v>
      </c>
      <c r="N32" s="17">
        <f t="shared" si="13"/>
        <v>352.28875963389612</v>
      </c>
      <c r="O32" s="17">
        <f t="shared" si="13"/>
        <v>362.85742242291303</v>
      </c>
      <c r="P32" s="17">
        <f t="shared" si="13"/>
        <v>373.74314509560043</v>
      </c>
      <c r="Q32" s="17">
        <f t="shared" si="13"/>
        <v>384.95543944846844</v>
      </c>
      <c r="R32" s="17">
        <f t="shared" si="13"/>
        <v>396.50410263192248</v>
      </c>
      <c r="S32" s="17">
        <f t="shared" si="13"/>
        <v>408.39922571088016</v>
      </c>
      <c r="T32" s="17">
        <f t="shared" si="13"/>
        <v>420.6512024822066</v>
      </c>
      <c r="U32" s="17">
        <f t="shared" si="13"/>
        <v>433.27073855667282</v>
      </c>
      <c r="V32" s="19"/>
      <c r="W32" s="19"/>
      <c r="X32" s="19"/>
      <c r="Y32" s="19"/>
      <c r="Z32" s="19"/>
      <c r="AA32" s="19"/>
      <c r="AB32" s="19"/>
      <c r="AC32" s="19"/>
      <c r="AD32" s="19"/>
    </row>
    <row r="34" spans="1:30" x14ac:dyDescent="0.25">
      <c r="A34" s="2" t="s">
        <v>155</v>
      </c>
      <c r="B34" s="36" t="s">
        <v>277</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x14ac:dyDescent="0.25">
      <c r="A35" t="s">
        <v>156</v>
      </c>
      <c r="B35" t="s">
        <v>65</v>
      </c>
    </row>
    <row r="36" spans="1:30" x14ac:dyDescent="0.25">
      <c r="A36" t="s">
        <v>157</v>
      </c>
      <c r="B36" t="s">
        <v>275</v>
      </c>
    </row>
    <row r="37" spans="1:30" x14ac:dyDescent="0.25">
      <c r="A37" t="s">
        <v>222</v>
      </c>
      <c r="B37" t="s">
        <v>286</v>
      </c>
    </row>
  </sheetData>
  <mergeCells count="5">
    <mergeCell ref="B2:B3"/>
    <mergeCell ref="D2:D3"/>
    <mergeCell ref="E1:AD1"/>
    <mergeCell ref="A1:A3"/>
    <mergeCell ref="C2:C3"/>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4FD0-D389-4358-B8CE-FC61439D1435}">
  <sheetPr codeName="Sheet13">
    <tabColor theme="9" tint="0.79998168889431442"/>
  </sheetPr>
  <dimension ref="A1:V34"/>
  <sheetViews>
    <sheetView topLeftCell="C1" workbookViewId="0">
      <selection activeCell="Y20" sqref="Y20"/>
    </sheetView>
  </sheetViews>
  <sheetFormatPr defaultRowHeight="15" x14ac:dyDescent="0.25"/>
  <cols>
    <col min="2" max="2" width="94.85546875" customWidth="1"/>
    <col min="3" max="3" width="11.5703125" customWidth="1"/>
    <col min="4" max="4" width="10.5703125" bestFit="1" customWidth="1"/>
    <col min="5" max="5" width="9.85546875" bestFit="1" customWidth="1"/>
  </cols>
  <sheetData>
    <row r="1" spans="1:21" ht="15" customHeight="1" x14ac:dyDescent="0.25">
      <c r="A1" s="42" t="s">
        <v>117</v>
      </c>
      <c r="B1" s="15" t="s">
        <v>107</v>
      </c>
      <c r="C1" s="15" t="s">
        <v>118</v>
      </c>
      <c r="D1" s="15"/>
      <c r="E1" s="42" t="s">
        <v>5</v>
      </c>
      <c r="F1" s="42"/>
      <c r="G1" s="42"/>
      <c r="H1" s="42"/>
      <c r="I1" s="42"/>
      <c r="J1" s="42"/>
      <c r="K1" s="42"/>
      <c r="L1" s="42"/>
      <c r="M1" s="42"/>
      <c r="N1" s="42"/>
      <c r="O1" s="42"/>
      <c r="P1" s="42"/>
      <c r="Q1" s="42"/>
      <c r="R1" s="42"/>
      <c r="S1" s="42"/>
      <c r="T1" s="42"/>
      <c r="U1" s="42"/>
    </row>
    <row r="2" spans="1:2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21"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21" x14ac:dyDescent="0.25">
      <c r="A4" t="s">
        <v>115</v>
      </c>
      <c r="B4" t="s">
        <v>319</v>
      </c>
      <c r="C4" t="s">
        <v>120</v>
      </c>
      <c r="D4" s="18">
        <f>E4+NPV(0.05,F4:L4)</f>
        <v>13389849.790251898</v>
      </c>
      <c r="E4" s="18">
        <f>15784395/8</f>
        <v>1973049.375</v>
      </c>
      <c r="F4" s="18">
        <f t="shared" ref="F4:L4" si="0">15784395/8</f>
        <v>1973049.375</v>
      </c>
      <c r="G4" s="18">
        <f t="shared" si="0"/>
        <v>1973049.375</v>
      </c>
      <c r="H4" s="18">
        <f t="shared" si="0"/>
        <v>1973049.375</v>
      </c>
      <c r="I4" s="18">
        <f t="shared" si="0"/>
        <v>1973049.375</v>
      </c>
      <c r="J4" s="18">
        <f t="shared" si="0"/>
        <v>1973049.375</v>
      </c>
      <c r="K4" s="18">
        <f t="shared" si="0"/>
        <v>1973049.375</v>
      </c>
      <c r="L4" s="18">
        <f t="shared" si="0"/>
        <v>1973049.375</v>
      </c>
      <c r="M4" s="22"/>
      <c r="N4" s="22"/>
      <c r="O4" s="22"/>
      <c r="P4" s="22"/>
      <c r="Q4" s="22"/>
      <c r="R4" s="22"/>
      <c r="S4" s="22"/>
      <c r="T4" s="22"/>
      <c r="U4" s="22"/>
    </row>
    <row r="5" spans="1:21" x14ac:dyDescent="0.25">
      <c r="A5" t="s">
        <v>161</v>
      </c>
      <c r="B5" t="s">
        <v>310</v>
      </c>
      <c r="C5" t="s">
        <v>120</v>
      </c>
      <c r="D5" s="18">
        <f>SUM(D13:D14)</f>
        <v>13933448.166379318</v>
      </c>
      <c r="E5" s="18">
        <f t="shared" ref="E5:U5" si="1">SUM(E13:E14)</f>
        <v>81413.578666666668</v>
      </c>
      <c r="F5" s="18">
        <f t="shared" si="1"/>
        <v>168752.53866666666</v>
      </c>
      <c r="G5" s="18">
        <f t="shared" si="1"/>
        <v>260520.76200000002</v>
      </c>
      <c r="H5" s="18">
        <f t="shared" si="1"/>
        <v>561781.37424000003</v>
      </c>
      <c r="I5" s="18">
        <f t="shared" si="1"/>
        <v>886196.87432039995</v>
      </c>
      <c r="J5" s="18">
        <f t="shared" si="1"/>
        <v>1233032.692707008</v>
      </c>
      <c r="K5" s="18">
        <f t="shared" si="1"/>
        <v>1603480.9250655244</v>
      </c>
      <c r="L5" s="18">
        <f t="shared" si="1"/>
        <v>1998793.4046647148</v>
      </c>
      <c r="M5" s="18">
        <f t="shared" si="1"/>
        <v>2070089.5369746564</v>
      </c>
      <c r="N5" s="18">
        <f t="shared" si="1"/>
        <v>2143940.6356338956</v>
      </c>
      <c r="O5" s="18">
        <f t="shared" si="1"/>
        <v>2220439.8484229129</v>
      </c>
      <c r="P5" s="18">
        <f t="shared" si="1"/>
        <v>2063303.8519302721</v>
      </c>
      <c r="Q5" s="18">
        <f t="shared" si="1"/>
        <v>2014542.7887330367</v>
      </c>
      <c r="R5" s="18">
        <f t="shared" si="1"/>
        <v>1669167.5575160221</v>
      </c>
      <c r="S5" s="18">
        <f t="shared" si="1"/>
        <v>1296573.4686611271</v>
      </c>
      <c r="T5" s="18">
        <f t="shared" si="1"/>
        <v>895250.62057397398</v>
      </c>
      <c r="U5" s="18">
        <f t="shared" si="1"/>
        <v>463613.25839559652</v>
      </c>
    </row>
    <row r="6" spans="1:21" x14ac:dyDescent="0.25">
      <c r="A6" t="s">
        <v>162</v>
      </c>
      <c r="B6" t="s">
        <v>312</v>
      </c>
      <c r="C6" t="s">
        <v>120</v>
      </c>
      <c r="D6" s="18">
        <f>NPV(0.05,F6:U6)+E6</f>
        <v>12540103.349741383</v>
      </c>
      <c r="E6" s="18">
        <f>E5*0.9</f>
        <v>73272.22080000001</v>
      </c>
      <c r="F6" s="18">
        <f t="shared" ref="F6:U6" si="2">F5*0.9</f>
        <v>151877.28479999999</v>
      </c>
      <c r="G6" s="18">
        <f t="shared" si="2"/>
        <v>234468.68580000001</v>
      </c>
      <c r="H6" s="18">
        <f t="shared" si="2"/>
        <v>505603.23681600002</v>
      </c>
      <c r="I6" s="18">
        <f t="shared" si="2"/>
        <v>797577.18688835995</v>
      </c>
      <c r="J6" s="18">
        <f t="shared" si="2"/>
        <v>1109729.4234363071</v>
      </c>
      <c r="K6" s="18">
        <f t="shared" si="2"/>
        <v>1443132.8325589721</v>
      </c>
      <c r="L6" s="18">
        <f t="shared" si="2"/>
        <v>1798914.0641982434</v>
      </c>
      <c r="M6" s="18">
        <f t="shared" si="2"/>
        <v>1863080.5832771908</v>
      </c>
      <c r="N6" s="18">
        <f t="shared" si="2"/>
        <v>1929546.5720705062</v>
      </c>
      <c r="O6" s="18">
        <f t="shared" si="2"/>
        <v>1998395.8635806215</v>
      </c>
      <c r="P6" s="18">
        <f t="shared" si="2"/>
        <v>1856973.466737245</v>
      </c>
      <c r="Q6" s="18">
        <f t="shared" si="2"/>
        <v>1813088.5098597331</v>
      </c>
      <c r="R6" s="18">
        <f t="shared" si="2"/>
        <v>1502250.80176442</v>
      </c>
      <c r="S6" s="18">
        <f t="shared" si="2"/>
        <v>1166916.1217950145</v>
      </c>
      <c r="T6" s="18">
        <f t="shared" si="2"/>
        <v>805725.55851657665</v>
      </c>
      <c r="U6" s="18">
        <f t="shared" si="2"/>
        <v>417251.93255603686</v>
      </c>
    </row>
    <row r="8" spans="1:21" x14ac:dyDescent="0.25">
      <c r="A8" t="s">
        <v>121</v>
      </c>
      <c r="B8" t="s">
        <v>178</v>
      </c>
      <c r="C8" t="s">
        <v>120</v>
      </c>
      <c r="D8" s="20">
        <f>D5-D4</f>
        <v>543598.37612741999</v>
      </c>
    </row>
    <row r="9" spans="1:21" x14ac:dyDescent="0.25">
      <c r="A9" t="s">
        <v>244</v>
      </c>
      <c r="B9" t="s">
        <v>247</v>
      </c>
      <c r="C9" t="s">
        <v>126</v>
      </c>
      <c r="D9" s="24">
        <f>D5/D4</f>
        <v>1.0405977949448821</v>
      </c>
    </row>
    <row r="10" spans="1:21" x14ac:dyDescent="0.25">
      <c r="A10" t="s">
        <v>245</v>
      </c>
      <c r="B10" t="s">
        <v>248</v>
      </c>
      <c r="C10" t="s">
        <v>126</v>
      </c>
      <c r="D10" s="24">
        <f>D9</f>
        <v>1.0405977949448821</v>
      </c>
      <c r="E10" t="s">
        <v>335</v>
      </c>
    </row>
    <row r="11" spans="1:21" x14ac:dyDescent="0.25">
      <c r="A11" t="s">
        <v>246</v>
      </c>
      <c r="B11" t="s">
        <v>249</v>
      </c>
      <c r="C11" t="s">
        <v>126</v>
      </c>
      <c r="D11" s="24">
        <f>D6/D4</f>
        <v>0.93653801545039372</v>
      </c>
    </row>
    <row r="13" spans="1:21" x14ac:dyDescent="0.25">
      <c r="A13" t="s">
        <v>122</v>
      </c>
      <c r="B13" t="s">
        <v>124</v>
      </c>
      <c r="C13" t="s">
        <v>120</v>
      </c>
      <c r="D13" s="18">
        <f>SUM(E13:U13)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row>
    <row r="14" spans="1:21" ht="15.75" customHeight="1" x14ac:dyDescent="0.25">
      <c r="A14" t="s">
        <v>123</v>
      </c>
      <c r="B14" t="s">
        <v>125</v>
      </c>
      <c r="C14" t="s">
        <v>120</v>
      </c>
      <c r="D14" s="18">
        <f>D16+D22</f>
        <v>13933448.166379318</v>
      </c>
      <c r="E14" s="18">
        <f t="shared" ref="E14:U14" si="3">E16+E22</f>
        <v>81413.578666666668</v>
      </c>
      <c r="F14" s="18">
        <f t="shared" si="3"/>
        <v>168752.53866666666</v>
      </c>
      <c r="G14" s="18">
        <f t="shared" si="3"/>
        <v>260520.76200000002</v>
      </c>
      <c r="H14" s="18">
        <f t="shared" si="3"/>
        <v>561781.37424000003</v>
      </c>
      <c r="I14" s="18">
        <f t="shared" si="3"/>
        <v>886196.87432039995</v>
      </c>
      <c r="J14" s="18">
        <f t="shared" si="3"/>
        <v>1233032.692707008</v>
      </c>
      <c r="K14" s="18">
        <f t="shared" si="3"/>
        <v>1603480.9250655244</v>
      </c>
      <c r="L14" s="18">
        <f t="shared" si="3"/>
        <v>1998793.4046647148</v>
      </c>
      <c r="M14" s="18">
        <f t="shared" si="3"/>
        <v>2070089.5369746564</v>
      </c>
      <c r="N14" s="18">
        <f t="shared" si="3"/>
        <v>2143940.6356338956</v>
      </c>
      <c r="O14" s="18">
        <f t="shared" si="3"/>
        <v>2220439.8484229129</v>
      </c>
      <c r="P14" s="18">
        <f t="shared" si="3"/>
        <v>2063303.8519302721</v>
      </c>
      <c r="Q14" s="18">
        <f t="shared" si="3"/>
        <v>2014542.7887330367</v>
      </c>
      <c r="R14" s="18">
        <f t="shared" si="3"/>
        <v>1669167.5575160221</v>
      </c>
      <c r="S14" s="18">
        <f t="shared" si="3"/>
        <v>1296573.4686611271</v>
      </c>
      <c r="T14" s="18">
        <f t="shared" si="3"/>
        <v>895250.62057397398</v>
      </c>
      <c r="U14" s="18">
        <f t="shared" si="3"/>
        <v>463613.25839559652</v>
      </c>
    </row>
    <row r="16" spans="1:21" x14ac:dyDescent="0.25">
      <c r="A16" s="2" t="s">
        <v>127</v>
      </c>
      <c r="B16" s="2" t="s">
        <v>242</v>
      </c>
      <c r="C16" s="2"/>
      <c r="D16" s="23">
        <f>SUM(D18,D20)</f>
        <v>11641106.44443446</v>
      </c>
      <c r="E16" s="23">
        <f t="shared" ref="E16:U16" si="4">SUM(E18,E20)</f>
        <v>67613.578666666668</v>
      </c>
      <c r="F16" s="23">
        <f t="shared" si="4"/>
        <v>140324.53866666666</v>
      </c>
      <c r="G16" s="23">
        <f t="shared" si="4"/>
        <v>216599.50200000001</v>
      </c>
      <c r="H16" s="23">
        <f t="shared" si="4"/>
        <v>466582.99800000002</v>
      </c>
      <c r="I16" s="23">
        <f t="shared" si="4"/>
        <v>736684.28399999999</v>
      </c>
      <c r="J16" s="23">
        <f t="shared" si="4"/>
        <v>1026032.7139999999</v>
      </c>
      <c r="K16" s="23">
        <f t="shared" si="4"/>
        <v>1335678.8760000002</v>
      </c>
      <c r="L16" s="23">
        <f t="shared" si="4"/>
        <v>1666727.4609999999</v>
      </c>
      <c r="M16" s="23">
        <f t="shared" si="4"/>
        <v>1728061.615</v>
      </c>
      <c r="N16" s="23">
        <f t="shared" si="4"/>
        <v>1791651.8759999997</v>
      </c>
      <c r="O16" s="23">
        <f t="shared" si="4"/>
        <v>1857582.426</v>
      </c>
      <c r="P16" s="23">
        <f t="shared" si="4"/>
        <v>1727765.5616666665</v>
      </c>
      <c r="Q16" s="23">
        <f t="shared" si="4"/>
        <v>1688613.85</v>
      </c>
      <c r="R16" s="23">
        <f t="shared" si="4"/>
        <v>1400602.112</v>
      </c>
      <c r="S16" s="23">
        <f t="shared" si="4"/>
        <v>1089106.662</v>
      </c>
      <c r="T16" s="23">
        <f t="shared" si="4"/>
        <v>752790.08</v>
      </c>
      <c r="U16" s="23">
        <f t="shared" si="4"/>
        <v>390246.07999999996</v>
      </c>
    </row>
    <row r="17" spans="1:22" ht="30" x14ac:dyDescent="0.25">
      <c r="A17" t="s">
        <v>129</v>
      </c>
      <c r="B17" s="1" t="s">
        <v>218</v>
      </c>
      <c r="C17" t="s">
        <v>144</v>
      </c>
      <c r="D17" s="17"/>
      <c r="E17" s="17">
        <f>G17/3</f>
        <v>36.666666666666664</v>
      </c>
      <c r="F17" s="17">
        <f>E17+E17</f>
        <v>73.333333333333329</v>
      </c>
      <c r="G17" s="17">
        <v>110</v>
      </c>
      <c r="H17" s="17">
        <f>G17+($L$17-$G$17)/5</f>
        <v>230</v>
      </c>
      <c r="I17" s="17">
        <f>H17+($L$17-$G$17)/5</f>
        <v>350</v>
      </c>
      <c r="J17" s="17">
        <f>I17+($L$17-$G$17)/5</f>
        <v>470</v>
      </c>
      <c r="K17" s="17">
        <f>J17+($L$17-$G$17)/5</f>
        <v>590</v>
      </c>
      <c r="L17" s="17">
        <v>710</v>
      </c>
      <c r="M17" s="17">
        <v>710</v>
      </c>
      <c r="N17" s="17">
        <v>710</v>
      </c>
      <c r="O17" s="17">
        <v>710</v>
      </c>
      <c r="P17" s="17">
        <f>L17-F17</f>
        <v>636.66666666666663</v>
      </c>
      <c r="Q17" s="17">
        <f>L17-G17</f>
        <v>600</v>
      </c>
      <c r="R17" s="17">
        <f>L17-H17</f>
        <v>480</v>
      </c>
      <c r="S17" s="17">
        <f>L17-I17</f>
        <v>360</v>
      </c>
      <c r="T17" s="17">
        <f>L17-J17</f>
        <v>240</v>
      </c>
      <c r="U17" s="17">
        <f>L17-K17</f>
        <v>120</v>
      </c>
    </row>
    <row r="18" spans="1:22" x14ac:dyDescent="0.25">
      <c r="A18" t="s">
        <v>130</v>
      </c>
      <c r="B18" s="1" t="s">
        <v>215</v>
      </c>
      <c r="C18" t="s">
        <v>120</v>
      </c>
      <c r="D18" s="18">
        <f>NPV(0.05,F18:U18)+E18</f>
        <v>9399649.2506886944</v>
      </c>
      <c r="E18" s="18">
        <f t="shared" ref="E18:U18" si="5">E17*0.35*E28</f>
        <v>54798.538666666667</v>
      </c>
      <c r="F18" s="18">
        <f t="shared" si="5"/>
        <v>113728.17866666666</v>
      </c>
      <c r="G18" s="18">
        <f t="shared" si="5"/>
        <v>175546.60200000001</v>
      </c>
      <c r="H18" s="18">
        <f t="shared" si="5"/>
        <v>377268.72400000005</v>
      </c>
      <c r="I18" s="18">
        <f t="shared" si="5"/>
        <v>595230.92999999993</v>
      </c>
      <c r="J18" s="18">
        <f t="shared" si="5"/>
        <v>828724.022</v>
      </c>
      <c r="K18" s="18">
        <f t="shared" si="5"/>
        <v>1078595.7560000001</v>
      </c>
      <c r="L18" s="18">
        <f t="shared" si="5"/>
        <v>1345735.8459999999</v>
      </c>
      <c r="M18" s="18">
        <f t="shared" si="5"/>
        <v>1395257.92</v>
      </c>
      <c r="N18" s="18">
        <f t="shared" si="5"/>
        <v>1446601.9959999998</v>
      </c>
      <c r="O18" s="18">
        <f t="shared" si="5"/>
        <v>1499835.666</v>
      </c>
      <c r="P18" s="18">
        <f t="shared" si="5"/>
        <v>1394415.2366666666</v>
      </c>
      <c r="Q18" s="18">
        <f t="shared" si="5"/>
        <v>1362466.56</v>
      </c>
      <c r="R18" s="18">
        <f t="shared" si="5"/>
        <v>1130082.912</v>
      </c>
      <c r="S18" s="18">
        <f t="shared" si="5"/>
        <v>878751.72</v>
      </c>
      <c r="T18" s="18">
        <f t="shared" si="5"/>
        <v>607392.576</v>
      </c>
      <c r="U18" s="18">
        <f t="shared" si="5"/>
        <v>314872.152</v>
      </c>
    </row>
    <row r="19" spans="1:22" ht="30" x14ac:dyDescent="0.25">
      <c r="A19" t="s">
        <v>131</v>
      </c>
      <c r="B19" s="1" t="s">
        <v>219</v>
      </c>
      <c r="C19" t="s">
        <v>144</v>
      </c>
      <c r="D19" s="17"/>
      <c r="E19" s="17">
        <f>G19/3</f>
        <v>40</v>
      </c>
      <c r="F19" s="17">
        <f>E19+E19</f>
        <v>80</v>
      </c>
      <c r="G19" s="17">
        <v>120</v>
      </c>
      <c r="H19" s="17">
        <f>G19+($L$19-$G$19)/5</f>
        <v>254</v>
      </c>
      <c r="I19" s="17">
        <f>H19+($L$19-$G$19)/5</f>
        <v>388</v>
      </c>
      <c r="J19" s="17">
        <f>I19+($L$19-$G$19)/5</f>
        <v>522</v>
      </c>
      <c r="K19" s="17">
        <f>J19+($L$19-$G$19)/5</f>
        <v>656</v>
      </c>
      <c r="L19" s="17">
        <v>790</v>
      </c>
      <c r="M19" s="17">
        <v>790</v>
      </c>
      <c r="N19" s="17">
        <v>790</v>
      </c>
      <c r="O19" s="17">
        <v>790</v>
      </c>
      <c r="P19" s="17">
        <f>L19-F19</f>
        <v>710</v>
      </c>
      <c r="Q19" s="17">
        <f>L19-G19</f>
        <v>670</v>
      </c>
      <c r="R19" s="17">
        <f>L19-H19</f>
        <v>536</v>
      </c>
      <c r="S19" s="17">
        <f>L19-I19</f>
        <v>402</v>
      </c>
      <c r="T19" s="17">
        <f>L19-J19</f>
        <v>268</v>
      </c>
      <c r="U19" s="17">
        <f>L19-K19</f>
        <v>134</v>
      </c>
      <c r="V19" s="3"/>
    </row>
    <row r="20" spans="1:22" x14ac:dyDescent="0.25">
      <c r="A20" t="s">
        <v>132</v>
      </c>
      <c r="B20" s="1" t="s">
        <v>216</v>
      </c>
      <c r="C20" t="s">
        <v>120</v>
      </c>
      <c r="D20" s="18">
        <f>NPV(0.05,F20:U20)+E20</f>
        <v>2241457.1937457668</v>
      </c>
      <c r="E20" s="18">
        <f t="shared" ref="E20:U20" si="6">E19*0.35*E29</f>
        <v>12815.04</v>
      </c>
      <c r="F20" s="18">
        <f t="shared" si="6"/>
        <v>26596.36</v>
      </c>
      <c r="G20" s="18">
        <f t="shared" si="6"/>
        <v>41052.9</v>
      </c>
      <c r="H20" s="18">
        <f t="shared" si="6"/>
        <v>89314.27399999999</v>
      </c>
      <c r="I20" s="18">
        <f t="shared" si="6"/>
        <v>141453.35399999999</v>
      </c>
      <c r="J20" s="18">
        <f t="shared" si="6"/>
        <v>197308.69199999998</v>
      </c>
      <c r="K20" s="18">
        <f t="shared" si="6"/>
        <v>257083.12</v>
      </c>
      <c r="L20" s="18">
        <f t="shared" si="6"/>
        <v>320991.61500000005</v>
      </c>
      <c r="M20" s="18">
        <f t="shared" si="6"/>
        <v>332803.69500000001</v>
      </c>
      <c r="N20" s="18">
        <f t="shared" si="6"/>
        <v>345049.88</v>
      </c>
      <c r="O20" s="18">
        <f t="shared" si="6"/>
        <v>357746.75999999995</v>
      </c>
      <c r="P20" s="18">
        <f t="shared" si="6"/>
        <v>333350.32499999995</v>
      </c>
      <c r="Q20" s="18">
        <f t="shared" si="6"/>
        <v>326147.28999999992</v>
      </c>
      <c r="R20" s="18">
        <f t="shared" si="6"/>
        <v>270519.2</v>
      </c>
      <c r="S20" s="18">
        <f t="shared" si="6"/>
        <v>210354.94199999998</v>
      </c>
      <c r="T20" s="18">
        <f t="shared" si="6"/>
        <v>145397.50399999999</v>
      </c>
      <c r="U20" s="18">
        <f t="shared" si="6"/>
        <v>75373.927999999985</v>
      </c>
      <c r="V20" s="3"/>
    </row>
    <row r="21" spans="1:22" x14ac:dyDescent="0.25">
      <c r="B21" s="1"/>
      <c r="E21" s="3"/>
      <c r="F21" s="3"/>
      <c r="G21" s="3"/>
      <c r="H21" s="3"/>
      <c r="I21" s="3"/>
      <c r="J21" s="3"/>
      <c r="K21" s="3"/>
      <c r="L21" s="3"/>
      <c r="M21" s="3"/>
      <c r="N21" s="3"/>
      <c r="O21" s="3"/>
      <c r="P21" s="3"/>
      <c r="Q21" s="3"/>
      <c r="R21" s="3"/>
      <c r="S21" s="3"/>
      <c r="T21" s="3"/>
      <c r="U21" s="3"/>
    </row>
    <row r="22" spans="1:22" x14ac:dyDescent="0.25">
      <c r="A22" s="2" t="s">
        <v>135</v>
      </c>
      <c r="B22" s="2" t="s">
        <v>128</v>
      </c>
      <c r="C22" s="2"/>
      <c r="D22" s="23">
        <f>D24</f>
        <v>2292341.7219448565</v>
      </c>
      <c r="E22" s="23">
        <f t="shared" ref="E22:U22" si="7">E24</f>
        <v>13799.999999999998</v>
      </c>
      <c r="F22" s="23">
        <f t="shared" si="7"/>
        <v>28427.999999999996</v>
      </c>
      <c r="G22" s="23">
        <f t="shared" si="7"/>
        <v>43921.26</v>
      </c>
      <c r="H22" s="23">
        <f t="shared" si="7"/>
        <v>95198.376240000012</v>
      </c>
      <c r="I22" s="23">
        <f t="shared" si="7"/>
        <v>149512.59032040002</v>
      </c>
      <c r="J22" s="23">
        <f t="shared" si="7"/>
        <v>206999.97870700801</v>
      </c>
      <c r="K22" s="23">
        <f t="shared" si="7"/>
        <v>267802.04906552419</v>
      </c>
      <c r="L22" s="23">
        <f t="shared" si="7"/>
        <v>332065.94366471499</v>
      </c>
      <c r="M22" s="23">
        <f t="shared" si="7"/>
        <v>342027.9219746564</v>
      </c>
      <c r="N22" s="23">
        <f t="shared" si="7"/>
        <v>352288.75963389612</v>
      </c>
      <c r="O22" s="23">
        <f t="shared" si="7"/>
        <v>362857.42242291296</v>
      </c>
      <c r="P22" s="23">
        <f t="shared" si="7"/>
        <v>335538.2902636056</v>
      </c>
      <c r="Q22" s="23">
        <f t="shared" si="7"/>
        <v>325928.93873303657</v>
      </c>
      <c r="R22" s="23">
        <f t="shared" si="7"/>
        <v>268565.44551602216</v>
      </c>
      <c r="S22" s="23">
        <f t="shared" si="7"/>
        <v>207466.80666112714</v>
      </c>
      <c r="T22" s="23">
        <f t="shared" si="7"/>
        <v>142460.54057397397</v>
      </c>
      <c r="U22" s="23">
        <f t="shared" si="7"/>
        <v>73367.178395596595</v>
      </c>
    </row>
    <row r="23" spans="1:22" x14ac:dyDescent="0.25">
      <c r="A23" s="7" t="s">
        <v>136</v>
      </c>
      <c r="B23" s="1" t="s">
        <v>217</v>
      </c>
      <c r="C23" t="s">
        <v>144</v>
      </c>
      <c r="D23" s="17">
        <v>1500</v>
      </c>
      <c r="E23" s="17">
        <f>(E17+E19)</f>
        <v>76.666666666666657</v>
      </c>
      <c r="F23" s="17">
        <f t="shared" ref="F23:U23" si="8">(F17+F19)</f>
        <v>153.33333333333331</v>
      </c>
      <c r="G23" s="17">
        <f t="shared" si="8"/>
        <v>230</v>
      </c>
      <c r="H23" s="17">
        <f t="shared" si="8"/>
        <v>484</v>
      </c>
      <c r="I23" s="17">
        <f t="shared" si="8"/>
        <v>738</v>
      </c>
      <c r="J23" s="17">
        <f t="shared" si="8"/>
        <v>992</v>
      </c>
      <c r="K23" s="17">
        <f t="shared" si="8"/>
        <v>1246</v>
      </c>
      <c r="L23" s="17">
        <f t="shared" si="8"/>
        <v>1500</v>
      </c>
      <c r="M23" s="17">
        <f t="shared" si="8"/>
        <v>1500</v>
      </c>
      <c r="N23" s="17">
        <f t="shared" si="8"/>
        <v>1500</v>
      </c>
      <c r="O23" s="17">
        <f t="shared" si="8"/>
        <v>1500</v>
      </c>
      <c r="P23" s="17">
        <f t="shared" si="8"/>
        <v>1346.6666666666665</v>
      </c>
      <c r="Q23" s="17">
        <f t="shared" si="8"/>
        <v>1270</v>
      </c>
      <c r="R23" s="17">
        <f t="shared" si="8"/>
        <v>1016</v>
      </c>
      <c r="S23" s="17">
        <f t="shared" si="8"/>
        <v>762</v>
      </c>
      <c r="T23" s="17">
        <f t="shared" si="8"/>
        <v>508</v>
      </c>
      <c r="U23" s="17">
        <f t="shared" si="8"/>
        <v>254</v>
      </c>
    </row>
    <row r="24" spans="1:22" x14ac:dyDescent="0.25">
      <c r="A24" s="7" t="s">
        <v>140</v>
      </c>
      <c r="B24" s="1" t="s">
        <v>220</v>
      </c>
      <c r="C24" t="s">
        <v>120</v>
      </c>
      <c r="D24" s="18">
        <f>NPV(0.05,F24:U24)+E24</f>
        <v>2292341.7219448565</v>
      </c>
      <c r="E24" s="18">
        <f t="shared" ref="E24:U24" si="9">E23*E30</f>
        <v>13799.999999999998</v>
      </c>
      <c r="F24" s="18">
        <f t="shared" si="9"/>
        <v>28427.999999999996</v>
      </c>
      <c r="G24" s="18">
        <f t="shared" si="9"/>
        <v>43921.26</v>
      </c>
      <c r="H24" s="18">
        <f t="shared" si="9"/>
        <v>95198.376240000012</v>
      </c>
      <c r="I24" s="18">
        <f t="shared" si="9"/>
        <v>149512.59032040002</v>
      </c>
      <c r="J24" s="18">
        <f t="shared" si="9"/>
        <v>206999.97870700801</v>
      </c>
      <c r="K24" s="18">
        <f t="shared" si="9"/>
        <v>267802.04906552419</v>
      </c>
      <c r="L24" s="18">
        <f t="shared" si="9"/>
        <v>332065.94366471499</v>
      </c>
      <c r="M24" s="18">
        <f t="shared" si="9"/>
        <v>342027.9219746564</v>
      </c>
      <c r="N24" s="18">
        <f t="shared" si="9"/>
        <v>352288.75963389612</v>
      </c>
      <c r="O24" s="18">
        <f t="shared" si="9"/>
        <v>362857.42242291296</v>
      </c>
      <c r="P24" s="18">
        <f t="shared" si="9"/>
        <v>335538.2902636056</v>
      </c>
      <c r="Q24" s="18">
        <f t="shared" si="9"/>
        <v>325928.93873303657</v>
      </c>
      <c r="R24" s="18">
        <f t="shared" si="9"/>
        <v>268565.44551602216</v>
      </c>
      <c r="S24" s="18">
        <f t="shared" si="9"/>
        <v>207466.80666112714</v>
      </c>
      <c r="T24" s="18">
        <f t="shared" si="9"/>
        <v>142460.54057397397</v>
      </c>
      <c r="U24" s="18">
        <f t="shared" si="9"/>
        <v>73367.178395596595</v>
      </c>
    </row>
    <row r="26" spans="1:22" x14ac:dyDescent="0.25">
      <c r="A26" s="2" t="s">
        <v>147</v>
      </c>
      <c r="B26" s="2" t="s">
        <v>6</v>
      </c>
      <c r="C26" s="2"/>
      <c r="D26" s="2"/>
      <c r="E26" s="2"/>
      <c r="F26" s="2"/>
      <c r="G26" s="2"/>
      <c r="H26" s="2"/>
      <c r="I26" s="2"/>
      <c r="J26" s="2"/>
      <c r="K26" s="2"/>
      <c r="L26" s="2"/>
      <c r="M26" s="2"/>
      <c r="N26" s="2"/>
      <c r="O26" s="2"/>
      <c r="P26" s="2"/>
      <c r="Q26" s="2"/>
      <c r="R26" s="2"/>
      <c r="S26" s="2"/>
      <c r="T26" s="2"/>
      <c r="U26" s="2"/>
    </row>
    <row r="27" spans="1:22" x14ac:dyDescent="0.25">
      <c r="A27" s="7" t="s">
        <v>148</v>
      </c>
      <c r="B27" t="s">
        <v>44</v>
      </c>
      <c r="C27" t="s">
        <v>120</v>
      </c>
      <c r="D27" s="19"/>
      <c r="E27" s="17">
        <v>10675.04</v>
      </c>
      <c r="F27" s="17">
        <v>11077.42</v>
      </c>
      <c r="G27" s="17">
        <v>11399.13</v>
      </c>
      <c r="H27" s="17">
        <v>11716.42</v>
      </c>
      <c r="I27" s="17">
        <v>12147.57</v>
      </c>
      <c r="J27" s="17">
        <v>12594.59</v>
      </c>
      <c r="K27" s="17">
        <v>13058.06</v>
      </c>
      <c r="L27" s="17">
        <v>13538.59</v>
      </c>
      <c r="M27" s="17">
        <v>14036.8</v>
      </c>
      <c r="N27" s="17">
        <v>14553.34</v>
      </c>
      <c r="O27" s="17">
        <v>15088.89</v>
      </c>
      <c r="P27" s="17">
        <v>15644.15</v>
      </c>
      <c r="Q27" s="17">
        <v>16219.84</v>
      </c>
      <c r="R27" s="17">
        <v>16816.71</v>
      </c>
      <c r="S27" s="17">
        <v>17435.55</v>
      </c>
      <c r="T27" s="17">
        <v>18077.16</v>
      </c>
      <c r="U27" s="17">
        <v>18742.39</v>
      </c>
    </row>
    <row r="28" spans="1:22" x14ac:dyDescent="0.25">
      <c r="A28" s="7" t="s">
        <v>149</v>
      </c>
      <c r="B28" t="s">
        <v>61</v>
      </c>
      <c r="C28" t="s">
        <v>120</v>
      </c>
      <c r="D28" s="19"/>
      <c r="E28" s="17">
        <f>E27*0.4</f>
        <v>4270.0160000000005</v>
      </c>
      <c r="F28" s="17">
        <f t="shared" ref="F28:U28" si="10">F27*0.4</f>
        <v>4430.9679999999998</v>
      </c>
      <c r="G28" s="17">
        <f t="shared" si="10"/>
        <v>4559.652</v>
      </c>
      <c r="H28" s="17">
        <f t="shared" si="10"/>
        <v>4686.5680000000002</v>
      </c>
      <c r="I28" s="17">
        <f t="shared" si="10"/>
        <v>4859.0280000000002</v>
      </c>
      <c r="J28" s="17">
        <f t="shared" si="10"/>
        <v>5037.8360000000002</v>
      </c>
      <c r="K28" s="17">
        <f t="shared" si="10"/>
        <v>5223.2240000000002</v>
      </c>
      <c r="L28" s="17">
        <f t="shared" si="10"/>
        <v>5415.4360000000006</v>
      </c>
      <c r="M28" s="17">
        <f t="shared" si="10"/>
        <v>5614.72</v>
      </c>
      <c r="N28" s="17">
        <f t="shared" si="10"/>
        <v>5821.3360000000002</v>
      </c>
      <c r="O28" s="17">
        <f t="shared" si="10"/>
        <v>6035.5560000000005</v>
      </c>
      <c r="P28" s="17">
        <f t="shared" si="10"/>
        <v>6257.66</v>
      </c>
      <c r="Q28" s="17">
        <f t="shared" si="10"/>
        <v>6487.9360000000006</v>
      </c>
      <c r="R28" s="17">
        <f t="shared" si="10"/>
        <v>6726.6840000000002</v>
      </c>
      <c r="S28" s="17">
        <f t="shared" si="10"/>
        <v>6974.22</v>
      </c>
      <c r="T28" s="17">
        <f t="shared" si="10"/>
        <v>7230.8640000000005</v>
      </c>
      <c r="U28" s="17">
        <f t="shared" si="10"/>
        <v>7496.9560000000001</v>
      </c>
    </row>
    <row r="29" spans="1:22" x14ac:dyDescent="0.25">
      <c r="A29" s="7" t="s">
        <v>150</v>
      </c>
      <c r="B29" t="s">
        <v>62</v>
      </c>
      <c r="C29" t="s">
        <v>120</v>
      </c>
      <c r="D29" s="19"/>
      <c r="E29" s="17">
        <v>915.36</v>
      </c>
      <c r="F29" s="17">
        <v>949.87</v>
      </c>
      <c r="G29" s="17">
        <v>977.45</v>
      </c>
      <c r="H29" s="17">
        <v>1004.66</v>
      </c>
      <c r="I29" s="17">
        <v>1041.6300000000001</v>
      </c>
      <c r="J29" s="17">
        <v>1079.96</v>
      </c>
      <c r="K29" s="17">
        <v>1119.7</v>
      </c>
      <c r="L29" s="17">
        <v>1160.9100000000001</v>
      </c>
      <c r="M29" s="17">
        <v>1203.6300000000001</v>
      </c>
      <c r="N29" s="17">
        <v>1247.92</v>
      </c>
      <c r="O29" s="17">
        <v>1293.8399999999999</v>
      </c>
      <c r="P29" s="17">
        <v>1341.45</v>
      </c>
      <c r="Q29" s="17">
        <v>1390.82</v>
      </c>
      <c r="R29" s="17">
        <v>1442</v>
      </c>
      <c r="S29" s="17">
        <v>1495.06</v>
      </c>
      <c r="T29" s="17">
        <v>1550.08</v>
      </c>
      <c r="U29" s="17">
        <v>1607.12</v>
      </c>
    </row>
    <row r="30" spans="1:22" ht="45" x14ac:dyDescent="0.25">
      <c r="A30" s="7" t="s">
        <v>151</v>
      </c>
      <c r="B30" s="1" t="s">
        <v>70</v>
      </c>
      <c r="C30" t="s">
        <v>120</v>
      </c>
      <c r="D30" s="19"/>
      <c r="E30" s="17">
        <f>20*9</f>
        <v>180</v>
      </c>
      <c r="F30" s="17">
        <f>E30*1.03</f>
        <v>185.4</v>
      </c>
      <c r="G30" s="17">
        <f t="shared" ref="G30:U30" si="11">F30*1.03</f>
        <v>190.96200000000002</v>
      </c>
      <c r="H30" s="17">
        <f t="shared" si="11"/>
        <v>196.69086000000001</v>
      </c>
      <c r="I30" s="17">
        <f t="shared" si="11"/>
        <v>202.59158580000002</v>
      </c>
      <c r="J30" s="17">
        <f t="shared" si="11"/>
        <v>208.66933337400002</v>
      </c>
      <c r="K30" s="17">
        <f t="shared" si="11"/>
        <v>214.92941337522004</v>
      </c>
      <c r="L30" s="17">
        <f t="shared" si="11"/>
        <v>221.37729577647664</v>
      </c>
      <c r="M30" s="17">
        <f t="shared" si="11"/>
        <v>228.01861464977094</v>
      </c>
      <c r="N30" s="17">
        <f t="shared" si="11"/>
        <v>234.85917308926406</v>
      </c>
      <c r="O30" s="17">
        <f t="shared" si="11"/>
        <v>241.90494828194198</v>
      </c>
      <c r="P30" s="17">
        <f t="shared" si="11"/>
        <v>249.16209673040024</v>
      </c>
      <c r="Q30" s="17">
        <f t="shared" si="11"/>
        <v>256.63695963231226</v>
      </c>
      <c r="R30" s="17">
        <f t="shared" si="11"/>
        <v>264.33606842128165</v>
      </c>
      <c r="S30" s="17">
        <f t="shared" si="11"/>
        <v>272.26615047392011</v>
      </c>
      <c r="T30" s="17">
        <f t="shared" si="11"/>
        <v>280.43413498813771</v>
      </c>
      <c r="U30" s="17">
        <f t="shared" si="11"/>
        <v>288.84715903778186</v>
      </c>
    </row>
    <row r="32" spans="1:22" x14ac:dyDescent="0.25">
      <c r="A32" s="2" t="s">
        <v>155</v>
      </c>
      <c r="B32" s="36" t="s">
        <v>277</v>
      </c>
      <c r="C32" s="2"/>
      <c r="D32" s="2"/>
      <c r="E32" s="2"/>
      <c r="F32" s="2"/>
      <c r="G32" s="2"/>
      <c r="H32" s="2"/>
      <c r="I32" s="2"/>
      <c r="J32" s="2"/>
      <c r="K32" s="2"/>
      <c r="L32" s="2"/>
      <c r="M32" s="2"/>
      <c r="N32" s="2"/>
      <c r="O32" s="2"/>
      <c r="P32" s="2"/>
      <c r="Q32" s="2"/>
      <c r="R32" s="2"/>
      <c r="S32" s="2"/>
      <c r="T32" s="2"/>
      <c r="U32" s="2"/>
    </row>
    <row r="33" spans="1:2" x14ac:dyDescent="0.25">
      <c r="A33" t="s">
        <v>156</v>
      </c>
      <c r="B33" t="s">
        <v>72</v>
      </c>
    </row>
    <row r="34" spans="1:2" x14ac:dyDescent="0.25">
      <c r="A34" t="s">
        <v>157</v>
      </c>
      <c r="B34" t="s">
        <v>71</v>
      </c>
    </row>
  </sheetData>
  <mergeCells count="5">
    <mergeCell ref="B2:B3"/>
    <mergeCell ref="D2:D3"/>
    <mergeCell ref="E1:U1"/>
    <mergeCell ref="A1:A3"/>
    <mergeCell ref="C2:C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7DC5-CA8C-4347-BF96-07781F9B6E4F}">
  <sheetPr codeName="Sheet14">
    <tabColor theme="9" tint="0.79998168889431442"/>
  </sheetPr>
  <dimension ref="A1:AE44"/>
  <sheetViews>
    <sheetView workbookViewId="0">
      <selection activeCell="A8" sqref="A8:C10"/>
    </sheetView>
  </sheetViews>
  <sheetFormatPr defaultRowHeight="15" x14ac:dyDescent="0.25"/>
  <cols>
    <col min="2" max="2" width="66.140625" customWidth="1"/>
    <col min="3" max="3" width="11.5703125" customWidth="1"/>
    <col min="4" max="4" width="10.5703125" bestFit="1" customWidth="1"/>
    <col min="5" max="5" width="9.85546875" bestFit="1" customWidth="1"/>
    <col min="10" max="15" width="9.85546875" bestFit="1" customWidth="1"/>
  </cols>
  <sheetData>
    <row r="1" spans="1:30" ht="15" customHeight="1" x14ac:dyDescent="0.25">
      <c r="A1" s="42" t="s">
        <v>117</v>
      </c>
      <c r="B1" s="15" t="s">
        <v>90</v>
      </c>
      <c r="C1" s="15" t="s">
        <v>118</v>
      </c>
      <c r="D1" s="15"/>
      <c r="E1" s="42" t="s">
        <v>5</v>
      </c>
      <c r="F1" s="42"/>
      <c r="G1" s="42"/>
      <c r="H1" s="42"/>
      <c r="I1" s="42"/>
      <c r="J1" s="42"/>
      <c r="K1" s="42"/>
      <c r="L1" s="42"/>
      <c r="M1" s="42"/>
      <c r="N1" s="42"/>
      <c r="O1" s="42"/>
      <c r="P1" s="42"/>
      <c r="Q1" s="42"/>
      <c r="R1" s="42"/>
      <c r="S1" s="42"/>
      <c r="T1" s="42"/>
      <c r="U1" s="42"/>
      <c r="V1" s="42"/>
      <c r="W1" s="42"/>
      <c r="X1" s="42"/>
      <c r="Y1" s="42"/>
      <c r="Z1" s="42"/>
      <c r="AA1" s="42"/>
      <c r="AB1" s="42"/>
      <c r="AC1" s="42"/>
      <c r="AD1" s="42"/>
    </row>
    <row r="2" spans="1:30"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row>
    <row r="3" spans="1:30"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row>
    <row r="4" spans="1:30" x14ac:dyDescent="0.25">
      <c r="A4" t="s">
        <v>115</v>
      </c>
      <c r="B4" t="s">
        <v>319</v>
      </c>
      <c r="C4" t="s">
        <v>120</v>
      </c>
      <c r="D4" s="18">
        <f>E4+NPV(0.05,F4:L4)</f>
        <v>21440947.851625293</v>
      </c>
      <c r="E4" s="18">
        <f>25275294/8</f>
        <v>3159411.75</v>
      </c>
      <c r="F4" s="18">
        <f t="shared" ref="F4:L4" si="0">25275294/8</f>
        <v>3159411.75</v>
      </c>
      <c r="G4" s="18">
        <f t="shared" si="0"/>
        <v>3159411.75</v>
      </c>
      <c r="H4" s="18">
        <f t="shared" si="0"/>
        <v>3159411.75</v>
      </c>
      <c r="I4" s="18">
        <f t="shared" si="0"/>
        <v>3159411.75</v>
      </c>
      <c r="J4" s="18">
        <f t="shared" si="0"/>
        <v>3159411.75</v>
      </c>
      <c r="K4" s="18">
        <f t="shared" si="0"/>
        <v>3159411.75</v>
      </c>
      <c r="L4" s="18">
        <f t="shared" si="0"/>
        <v>3159411.75</v>
      </c>
      <c r="M4" s="22"/>
      <c r="N4" s="22"/>
      <c r="O4" s="22"/>
      <c r="P4" s="22"/>
      <c r="Q4" s="22"/>
      <c r="R4" s="22"/>
      <c r="S4" s="22"/>
      <c r="T4" s="22"/>
      <c r="U4" s="22"/>
      <c r="V4" s="22"/>
      <c r="W4" s="22"/>
      <c r="X4" s="22"/>
      <c r="Y4" s="22"/>
      <c r="Z4" s="22"/>
      <c r="AA4" s="22"/>
      <c r="AB4" s="22"/>
      <c r="AC4" s="22"/>
      <c r="AD4" s="22"/>
    </row>
    <row r="5" spans="1:30" x14ac:dyDescent="0.25">
      <c r="A5" t="s">
        <v>116</v>
      </c>
      <c r="B5" t="s">
        <v>315</v>
      </c>
      <c r="C5" t="s">
        <v>120</v>
      </c>
      <c r="D5" s="18">
        <f>SUM(D12:D13)</f>
        <v>92271610.506094158</v>
      </c>
      <c r="E5" s="18">
        <f t="shared" ref="E5:AD5" si="1">SUM(E12:E13)</f>
        <v>0</v>
      </c>
      <c r="F5" s="18">
        <f t="shared" si="1"/>
        <v>0</v>
      </c>
      <c r="G5" s="18">
        <f t="shared" si="1"/>
        <v>26673.394999999997</v>
      </c>
      <c r="H5" s="18">
        <f t="shared" si="1"/>
        <v>2538622.8548000003</v>
      </c>
      <c r="I5" s="18">
        <f t="shared" si="1"/>
        <v>5239281.6036</v>
      </c>
      <c r="J5" s="18">
        <f t="shared" si="1"/>
        <v>10814857.9308</v>
      </c>
      <c r="K5" s="18">
        <f t="shared" si="1"/>
        <v>16789730.580800001</v>
      </c>
      <c r="L5" s="18">
        <f t="shared" si="1"/>
        <v>23178391.038000003</v>
      </c>
      <c r="M5" s="18">
        <f t="shared" si="1"/>
        <v>21044851.328400001</v>
      </c>
      <c r="N5" s="18">
        <f t="shared" si="1"/>
        <v>18722898.199200001</v>
      </c>
      <c r="O5" s="18">
        <f t="shared" si="1"/>
        <v>13057235.680800002</v>
      </c>
      <c r="P5" s="18">
        <f t="shared" si="1"/>
        <v>6939833.6452000011</v>
      </c>
      <c r="Q5" s="18">
        <f t="shared" si="1"/>
        <v>458034.84399999992</v>
      </c>
      <c r="R5" s="18">
        <f t="shared" si="1"/>
        <v>635471.06760000007</v>
      </c>
      <c r="S5" s="18">
        <f t="shared" si="1"/>
        <v>820136.4600000002</v>
      </c>
      <c r="T5" s="18">
        <f t="shared" si="1"/>
        <v>1017554.8188000001</v>
      </c>
      <c r="U5" s="18">
        <f t="shared" si="1"/>
        <v>1234037.1786</v>
      </c>
      <c r="V5" s="18">
        <f t="shared" si="1"/>
        <v>1250300.2536000002</v>
      </c>
      <c r="W5" s="18">
        <f t="shared" si="1"/>
        <v>1296310.4568</v>
      </c>
      <c r="X5" s="18">
        <f t="shared" si="1"/>
        <v>1344013.1388000003</v>
      </c>
      <c r="Y5" s="18">
        <f t="shared" si="1"/>
        <v>1298854.1330000001</v>
      </c>
      <c r="Z5" s="18">
        <f t="shared" si="1"/>
        <v>1248549.4560000002</v>
      </c>
      <c r="AA5" s="18">
        <f t="shared" si="1"/>
        <v>1035596.8448000001</v>
      </c>
      <c r="AB5" s="18">
        <f t="shared" si="1"/>
        <v>805279.30560000008</v>
      </c>
      <c r="AC5" s="18">
        <f t="shared" si="1"/>
        <v>556608.41600000008</v>
      </c>
      <c r="AD5" s="18">
        <f t="shared" si="1"/>
        <v>288545.60560000001</v>
      </c>
    </row>
    <row r="7" spans="1:30" x14ac:dyDescent="0.25">
      <c r="A7" t="s">
        <v>121</v>
      </c>
      <c r="B7" t="s">
        <v>179</v>
      </c>
      <c r="C7" t="s">
        <v>120</v>
      </c>
      <c r="D7" s="20">
        <f>D5-D4</f>
        <v>70830662.654468864</v>
      </c>
    </row>
    <row r="8" spans="1:30" x14ac:dyDescent="0.25">
      <c r="A8" t="s">
        <v>244</v>
      </c>
      <c r="B8" t="s">
        <v>247</v>
      </c>
      <c r="C8" t="s">
        <v>126</v>
      </c>
      <c r="D8" s="21">
        <f>D5/D4</f>
        <v>4.3035229200046619</v>
      </c>
    </row>
    <row r="9" spans="1:30" x14ac:dyDescent="0.25">
      <c r="A9" t="s">
        <v>245</v>
      </c>
      <c r="B9" t="s">
        <v>248</v>
      </c>
      <c r="C9" t="s">
        <v>126</v>
      </c>
      <c r="D9" s="21">
        <f>D8</f>
        <v>4.3035229200046619</v>
      </c>
      <c r="E9" t="s">
        <v>336</v>
      </c>
    </row>
    <row r="10" spans="1:30" x14ac:dyDescent="0.25">
      <c r="A10" t="s">
        <v>246</v>
      </c>
      <c r="B10" t="s">
        <v>249</v>
      </c>
      <c r="C10" t="s">
        <v>126</v>
      </c>
      <c r="D10" s="21">
        <f>D5*0.5/D4</f>
        <v>2.1517614600023309</v>
      </c>
    </row>
    <row r="12" spans="1:30" x14ac:dyDescent="0.25">
      <c r="A12" t="s">
        <v>122</v>
      </c>
      <c r="B12" t="s">
        <v>124</v>
      </c>
      <c r="C12" t="s">
        <v>120</v>
      </c>
      <c r="D12" s="18">
        <f>SUM(E12:U12)</f>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row>
    <row r="13" spans="1:30" x14ac:dyDescent="0.25">
      <c r="A13" t="s">
        <v>123</v>
      </c>
      <c r="B13" t="s">
        <v>125</v>
      </c>
      <c r="C13" t="s">
        <v>120</v>
      </c>
      <c r="D13" s="18">
        <f>SUM(D15,D20)</f>
        <v>92271610.506094158</v>
      </c>
      <c r="E13" s="18">
        <f t="shared" ref="E13:AD13" si="2">SUM(E15,E20)</f>
        <v>0</v>
      </c>
      <c r="F13" s="18">
        <f t="shared" si="2"/>
        <v>0</v>
      </c>
      <c r="G13" s="18">
        <f t="shared" si="2"/>
        <v>26673.394999999997</v>
      </c>
      <c r="H13" s="18">
        <f t="shared" si="2"/>
        <v>2538622.8548000003</v>
      </c>
      <c r="I13" s="18">
        <f t="shared" si="2"/>
        <v>5239281.6036</v>
      </c>
      <c r="J13" s="18">
        <f t="shared" si="2"/>
        <v>10814857.9308</v>
      </c>
      <c r="K13" s="18">
        <f t="shared" si="2"/>
        <v>16789730.580800001</v>
      </c>
      <c r="L13" s="18">
        <f t="shared" si="2"/>
        <v>23178391.038000003</v>
      </c>
      <c r="M13" s="18">
        <f t="shared" si="2"/>
        <v>21044851.328400001</v>
      </c>
      <c r="N13" s="18">
        <f t="shared" si="2"/>
        <v>18722898.199200001</v>
      </c>
      <c r="O13" s="18">
        <f t="shared" si="2"/>
        <v>13057235.680800002</v>
      </c>
      <c r="P13" s="18">
        <f t="shared" si="2"/>
        <v>6939833.6452000011</v>
      </c>
      <c r="Q13" s="18">
        <f t="shared" si="2"/>
        <v>458034.84399999992</v>
      </c>
      <c r="R13" s="18">
        <f t="shared" si="2"/>
        <v>635471.06760000007</v>
      </c>
      <c r="S13" s="18">
        <f t="shared" si="2"/>
        <v>820136.4600000002</v>
      </c>
      <c r="T13" s="18">
        <f t="shared" si="2"/>
        <v>1017554.8188000001</v>
      </c>
      <c r="U13" s="18">
        <f t="shared" si="2"/>
        <v>1234037.1786</v>
      </c>
      <c r="V13" s="18">
        <f t="shared" si="2"/>
        <v>1250300.2536000002</v>
      </c>
      <c r="W13" s="18">
        <f t="shared" si="2"/>
        <v>1296310.4568</v>
      </c>
      <c r="X13" s="18">
        <f t="shared" si="2"/>
        <v>1344013.1388000003</v>
      </c>
      <c r="Y13" s="18">
        <f t="shared" si="2"/>
        <v>1298854.1330000001</v>
      </c>
      <c r="Z13" s="18">
        <f t="shared" si="2"/>
        <v>1248549.4560000002</v>
      </c>
      <c r="AA13" s="18">
        <f t="shared" si="2"/>
        <v>1035596.8448000001</v>
      </c>
      <c r="AB13" s="18">
        <f t="shared" si="2"/>
        <v>805279.30560000008</v>
      </c>
      <c r="AC13" s="18">
        <f t="shared" si="2"/>
        <v>556608.41600000008</v>
      </c>
      <c r="AD13" s="18">
        <f t="shared" si="2"/>
        <v>288545.60560000001</v>
      </c>
    </row>
    <row r="15" spans="1:30" x14ac:dyDescent="0.25">
      <c r="A15" s="2" t="s">
        <v>127</v>
      </c>
      <c r="B15" s="2" t="s">
        <v>242</v>
      </c>
      <c r="C15" s="2"/>
      <c r="D15" s="23">
        <f>D18</f>
        <v>5659179.2261841865</v>
      </c>
      <c r="E15" s="23">
        <f t="shared" ref="E15:AD15" si="3">E18</f>
        <v>0</v>
      </c>
      <c r="F15" s="23">
        <f t="shared" si="3"/>
        <v>0</v>
      </c>
      <c r="G15" s="23">
        <f t="shared" si="3"/>
        <v>0</v>
      </c>
      <c r="H15" s="23">
        <f t="shared" si="3"/>
        <v>0</v>
      </c>
      <c r="I15" s="23">
        <f t="shared" si="3"/>
        <v>0</v>
      </c>
      <c r="J15" s="23">
        <f t="shared" si="3"/>
        <v>0</v>
      </c>
      <c r="K15" s="23">
        <f t="shared" si="3"/>
        <v>0</v>
      </c>
      <c r="L15" s="23">
        <f t="shared" si="3"/>
        <v>0</v>
      </c>
      <c r="M15" s="23">
        <f t="shared" si="3"/>
        <v>0</v>
      </c>
      <c r="N15" s="23">
        <f t="shared" si="3"/>
        <v>0</v>
      </c>
      <c r="O15" s="23">
        <f t="shared" si="3"/>
        <v>65921.908800000005</v>
      </c>
      <c r="P15" s="23">
        <f t="shared" si="3"/>
        <v>136695.52600000001</v>
      </c>
      <c r="Q15" s="23">
        <f t="shared" si="3"/>
        <v>322104.33999999997</v>
      </c>
      <c r="R15" s="23">
        <f t="shared" si="3"/>
        <v>520973.48160000006</v>
      </c>
      <c r="S15" s="23">
        <f t="shared" si="3"/>
        <v>734042.58000000019</v>
      </c>
      <c r="T15" s="23">
        <f t="shared" si="3"/>
        <v>962088.26880000008</v>
      </c>
      <c r="U15" s="23">
        <f t="shared" si="3"/>
        <v>1205923.5936</v>
      </c>
      <c r="V15" s="23">
        <f t="shared" si="3"/>
        <v>1250300.2536000002</v>
      </c>
      <c r="W15" s="23">
        <f t="shared" si="3"/>
        <v>1296310.4568</v>
      </c>
      <c r="X15" s="23">
        <f t="shared" si="3"/>
        <v>1344013.1388000003</v>
      </c>
      <c r="Y15" s="23">
        <f t="shared" si="3"/>
        <v>1298854.1330000001</v>
      </c>
      <c r="Z15" s="23">
        <f t="shared" si="3"/>
        <v>1248549.4560000002</v>
      </c>
      <c r="AA15" s="23">
        <f t="shared" si="3"/>
        <v>1035596.8448000001</v>
      </c>
      <c r="AB15" s="23">
        <f t="shared" si="3"/>
        <v>805279.30560000008</v>
      </c>
      <c r="AC15" s="23">
        <f t="shared" si="3"/>
        <v>556608.41600000008</v>
      </c>
      <c r="AD15" s="23">
        <f t="shared" si="3"/>
        <v>288545.60560000001</v>
      </c>
    </row>
    <row r="16" spans="1:30" x14ac:dyDescent="0.25">
      <c r="A16" t="s">
        <v>129</v>
      </c>
      <c r="B16" t="s">
        <v>58</v>
      </c>
      <c r="C16" t="s">
        <v>144</v>
      </c>
      <c r="D16" s="19"/>
      <c r="E16" s="19"/>
      <c r="F16" s="19">
        <v>22</v>
      </c>
      <c r="G16" s="19">
        <v>44</v>
      </c>
      <c r="H16" s="17">
        <v>100</v>
      </c>
      <c r="I16" s="17">
        <v>156</v>
      </c>
      <c r="J16" s="17">
        <v>212</v>
      </c>
      <c r="K16" s="17">
        <v>268</v>
      </c>
      <c r="L16" s="19">
        <v>324</v>
      </c>
      <c r="M16" s="19"/>
      <c r="N16" s="19"/>
      <c r="O16" s="19"/>
      <c r="P16" s="19"/>
      <c r="Q16" s="19"/>
      <c r="R16" s="19"/>
      <c r="S16" s="19"/>
      <c r="T16" s="19"/>
      <c r="U16" s="19"/>
      <c r="V16" s="19"/>
      <c r="W16" s="19"/>
      <c r="X16" s="19"/>
      <c r="Y16" s="19"/>
      <c r="Z16" s="19"/>
      <c r="AA16" s="19"/>
      <c r="AB16" s="19"/>
      <c r="AC16" s="19"/>
      <c r="AD16" s="19"/>
    </row>
    <row r="17" spans="1:31" ht="30" x14ac:dyDescent="0.25">
      <c r="A17" t="s">
        <v>130</v>
      </c>
      <c r="B17" s="1" t="s">
        <v>221</v>
      </c>
      <c r="C17" t="s">
        <v>144</v>
      </c>
      <c r="D17" s="19"/>
      <c r="E17" s="19"/>
      <c r="F17" s="19"/>
      <c r="G17" s="19"/>
      <c r="H17" s="19"/>
      <c r="I17" s="19"/>
      <c r="J17" s="19"/>
      <c r="K17" s="19"/>
      <c r="L17" s="19"/>
      <c r="M17" s="19"/>
      <c r="N17" s="19"/>
      <c r="O17" s="17">
        <v>22</v>
      </c>
      <c r="P17" s="17">
        <v>44</v>
      </c>
      <c r="Q17" s="17">
        <v>100</v>
      </c>
      <c r="R17" s="17">
        <v>156</v>
      </c>
      <c r="S17" s="17">
        <v>212</v>
      </c>
      <c r="T17" s="17">
        <v>268</v>
      </c>
      <c r="U17" s="17">
        <v>324</v>
      </c>
      <c r="V17" s="17">
        <v>324</v>
      </c>
      <c r="W17" s="17">
        <v>324</v>
      </c>
      <c r="X17" s="17">
        <v>324</v>
      </c>
      <c r="Y17" s="17">
        <v>302</v>
      </c>
      <c r="Z17" s="17">
        <v>280</v>
      </c>
      <c r="AA17" s="17">
        <v>224</v>
      </c>
      <c r="AB17" s="17">
        <v>168</v>
      </c>
      <c r="AC17" s="17">
        <v>112</v>
      </c>
      <c r="AD17" s="17">
        <v>56</v>
      </c>
    </row>
    <row r="18" spans="1:31" x14ac:dyDescent="0.25">
      <c r="A18" t="s">
        <v>213</v>
      </c>
      <c r="B18" t="s">
        <v>198</v>
      </c>
      <c r="C18" t="s">
        <v>120</v>
      </c>
      <c r="D18" s="18">
        <f>NPV(0.05,F18:AD18)</f>
        <v>5659179.2261841865</v>
      </c>
      <c r="E18" s="18"/>
      <c r="F18" s="18"/>
      <c r="G18" s="18">
        <v>0</v>
      </c>
      <c r="H18" s="18">
        <v>0</v>
      </c>
      <c r="I18" s="18">
        <v>0</v>
      </c>
      <c r="J18" s="18">
        <v>0</v>
      </c>
      <c r="K18" s="18">
        <v>0</v>
      </c>
      <c r="L18" s="18">
        <v>0</v>
      </c>
      <c r="M18" s="18">
        <v>0</v>
      </c>
      <c r="N18" s="18">
        <v>0</v>
      </c>
      <c r="O18" s="18">
        <f>O17*0.45*O32+O17*0.4*0.4*O33</f>
        <v>65921.908800000005</v>
      </c>
      <c r="P18" s="18">
        <f t="shared" ref="P18:AD18" si="4">P17*0.45*P32+P17*0.4*0.4*P33</f>
        <v>136695.52600000001</v>
      </c>
      <c r="Q18" s="18">
        <f t="shared" si="4"/>
        <v>322104.33999999997</v>
      </c>
      <c r="R18" s="18">
        <f t="shared" si="4"/>
        <v>520973.48160000006</v>
      </c>
      <c r="S18" s="18">
        <f t="shared" si="4"/>
        <v>734042.58000000019</v>
      </c>
      <c r="T18" s="18">
        <f t="shared" si="4"/>
        <v>962088.26880000008</v>
      </c>
      <c r="U18" s="18">
        <f t="shared" si="4"/>
        <v>1205923.5936</v>
      </c>
      <c r="V18" s="18">
        <f t="shared" si="4"/>
        <v>1250300.2536000002</v>
      </c>
      <c r="W18" s="18">
        <f t="shared" si="4"/>
        <v>1296310.4568</v>
      </c>
      <c r="X18" s="18">
        <f t="shared" si="4"/>
        <v>1344013.1388000003</v>
      </c>
      <c r="Y18" s="18">
        <f t="shared" si="4"/>
        <v>1298854.1330000001</v>
      </c>
      <c r="Z18" s="18">
        <f t="shared" si="4"/>
        <v>1248549.4560000002</v>
      </c>
      <c r="AA18" s="18">
        <f t="shared" si="4"/>
        <v>1035596.8448000001</v>
      </c>
      <c r="AB18" s="18">
        <f t="shared" si="4"/>
        <v>805279.30560000008</v>
      </c>
      <c r="AC18" s="18">
        <f t="shared" si="4"/>
        <v>556608.41600000008</v>
      </c>
      <c r="AD18" s="18">
        <f t="shared" si="4"/>
        <v>288545.60560000001</v>
      </c>
    </row>
    <row r="19" spans="1:31" x14ac:dyDescent="0.25">
      <c r="B19" s="1"/>
      <c r="O19" s="3"/>
      <c r="P19" s="3"/>
      <c r="Q19" s="3"/>
      <c r="R19" s="3"/>
      <c r="S19" s="3"/>
      <c r="T19" s="3"/>
      <c r="U19" s="3"/>
      <c r="V19" s="3"/>
      <c r="W19" s="3"/>
      <c r="X19" s="3"/>
      <c r="Y19" s="3"/>
      <c r="Z19" s="3"/>
      <c r="AA19" s="3"/>
      <c r="AB19" s="3"/>
      <c r="AC19" s="3"/>
      <c r="AD19" s="3"/>
    </row>
    <row r="20" spans="1:31" x14ac:dyDescent="0.25">
      <c r="A20" s="2" t="s">
        <v>135</v>
      </c>
      <c r="B20" s="2" t="s">
        <v>128</v>
      </c>
      <c r="C20" s="2"/>
      <c r="D20" s="23">
        <f>SUM(D22,D24,D27,D29)</f>
        <v>86612431.279909968</v>
      </c>
      <c r="E20" s="23">
        <f t="shared" ref="E20:AD20" si="5">SUM(E22,E24,E27,E29)</f>
        <v>0</v>
      </c>
      <c r="F20" s="23">
        <f t="shared" si="5"/>
        <v>0</v>
      </c>
      <c r="G20" s="23">
        <f t="shared" si="5"/>
        <v>26673.394999999997</v>
      </c>
      <c r="H20" s="23">
        <f t="shared" si="5"/>
        <v>2538622.8548000003</v>
      </c>
      <c r="I20" s="23">
        <f t="shared" si="5"/>
        <v>5239281.6036</v>
      </c>
      <c r="J20" s="23">
        <f t="shared" si="5"/>
        <v>10814857.9308</v>
      </c>
      <c r="K20" s="23">
        <f t="shared" si="5"/>
        <v>16789730.580800001</v>
      </c>
      <c r="L20" s="23">
        <f t="shared" si="5"/>
        <v>23178391.038000003</v>
      </c>
      <c r="M20" s="23">
        <f t="shared" si="5"/>
        <v>21044851.328400001</v>
      </c>
      <c r="N20" s="23">
        <f t="shared" si="5"/>
        <v>18722898.199200001</v>
      </c>
      <c r="O20" s="23">
        <f t="shared" si="5"/>
        <v>12991313.772000002</v>
      </c>
      <c r="P20" s="23">
        <f t="shared" si="5"/>
        <v>6803138.1192000015</v>
      </c>
      <c r="Q20" s="23">
        <f t="shared" si="5"/>
        <v>135930.50399999999</v>
      </c>
      <c r="R20" s="23">
        <f t="shared" si="5"/>
        <v>114497.586</v>
      </c>
      <c r="S20" s="23">
        <f t="shared" si="5"/>
        <v>86093.88</v>
      </c>
      <c r="T20" s="23">
        <f t="shared" si="5"/>
        <v>55466.55</v>
      </c>
      <c r="U20" s="23">
        <f t="shared" si="5"/>
        <v>28113.584999999999</v>
      </c>
      <c r="V20" s="23">
        <f t="shared" si="5"/>
        <v>0</v>
      </c>
      <c r="W20" s="23">
        <f t="shared" si="5"/>
        <v>0</v>
      </c>
      <c r="X20" s="23">
        <f t="shared" si="5"/>
        <v>0</v>
      </c>
      <c r="Y20" s="23">
        <f t="shared" si="5"/>
        <v>0</v>
      </c>
      <c r="Z20" s="23">
        <f t="shared" si="5"/>
        <v>0</v>
      </c>
      <c r="AA20" s="23">
        <f t="shared" si="5"/>
        <v>0</v>
      </c>
      <c r="AB20" s="23">
        <f t="shared" si="5"/>
        <v>0</v>
      </c>
      <c r="AC20" s="23">
        <f t="shared" si="5"/>
        <v>0</v>
      </c>
      <c r="AD20" s="23">
        <f t="shared" si="5"/>
        <v>0</v>
      </c>
    </row>
    <row r="21" spans="1:31" x14ac:dyDescent="0.25">
      <c r="A21" t="s">
        <v>136</v>
      </c>
      <c r="B21" s="1" t="s">
        <v>88</v>
      </c>
      <c r="C21" t="s">
        <v>144</v>
      </c>
      <c r="D21" s="17"/>
      <c r="E21" s="17"/>
      <c r="F21" s="17"/>
      <c r="G21" s="17">
        <v>1</v>
      </c>
      <c r="H21" s="17">
        <v>1</v>
      </c>
      <c r="I21" s="17">
        <v>1</v>
      </c>
      <c r="J21" s="17">
        <v>1</v>
      </c>
      <c r="K21" s="17">
        <v>1</v>
      </c>
      <c r="L21" s="17"/>
      <c r="M21" s="17"/>
      <c r="N21" s="17"/>
      <c r="O21" s="17"/>
      <c r="P21" s="17"/>
      <c r="Q21" s="17"/>
      <c r="R21" s="17"/>
      <c r="S21" s="17"/>
      <c r="T21" s="17"/>
      <c r="U21" s="17"/>
      <c r="V21" s="17"/>
      <c r="W21" s="17"/>
      <c r="X21" s="17"/>
      <c r="Y21" s="17"/>
      <c r="Z21" s="17"/>
      <c r="AA21" s="17"/>
      <c r="AB21" s="17"/>
      <c r="AC21" s="17"/>
      <c r="AD21" s="17"/>
      <c r="AE21" s="3"/>
    </row>
    <row r="22" spans="1:31" x14ac:dyDescent="0.25">
      <c r="A22" t="s">
        <v>140</v>
      </c>
      <c r="B22" s="1" t="s">
        <v>225</v>
      </c>
      <c r="C22" t="s">
        <v>120</v>
      </c>
      <c r="D22" s="18">
        <f>NPV(0.05,F22:AD22)</f>
        <v>40121.067299510956</v>
      </c>
      <c r="E22" s="18"/>
      <c r="F22" s="18"/>
      <c r="G22" s="18">
        <f>G21*G34</f>
        <v>8699.75</v>
      </c>
      <c r="H22" s="18">
        <f t="shared" ref="H22:AD22" si="6">H21*H34</f>
        <v>8941.91</v>
      </c>
      <c r="I22" s="18">
        <f t="shared" si="6"/>
        <v>9270.9599999999991</v>
      </c>
      <c r="J22" s="18">
        <f t="shared" si="6"/>
        <v>9612.1200000000008</v>
      </c>
      <c r="K22" s="18">
        <f t="shared" si="6"/>
        <v>9965.84</v>
      </c>
      <c r="L22" s="18">
        <f t="shared" si="6"/>
        <v>0</v>
      </c>
      <c r="M22" s="18">
        <f t="shared" si="6"/>
        <v>0</v>
      </c>
      <c r="N22" s="18">
        <f t="shared" si="6"/>
        <v>0</v>
      </c>
      <c r="O22" s="18">
        <f t="shared" si="6"/>
        <v>0</v>
      </c>
      <c r="P22" s="18">
        <f t="shared" si="6"/>
        <v>0</v>
      </c>
      <c r="Q22" s="18">
        <f t="shared" si="6"/>
        <v>0</v>
      </c>
      <c r="R22" s="18">
        <f t="shared" si="6"/>
        <v>0</v>
      </c>
      <c r="S22" s="18">
        <f t="shared" si="6"/>
        <v>0</v>
      </c>
      <c r="T22" s="18">
        <f t="shared" si="6"/>
        <v>0</v>
      </c>
      <c r="U22" s="18">
        <f t="shared" si="6"/>
        <v>0</v>
      </c>
      <c r="V22" s="18">
        <f t="shared" si="6"/>
        <v>0</v>
      </c>
      <c r="W22" s="18">
        <f t="shared" si="6"/>
        <v>0</v>
      </c>
      <c r="X22" s="18">
        <f t="shared" si="6"/>
        <v>0</v>
      </c>
      <c r="Y22" s="18">
        <f t="shared" si="6"/>
        <v>0</v>
      </c>
      <c r="Z22" s="18">
        <f t="shared" si="6"/>
        <v>0</v>
      </c>
      <c r="AA22" s="18">
        <f t="shared" si="6"/>
        <v>0</v>
      </c>
      <c r="AB22" s="18">
        <f t="shared" si="6"/>
        <v>0</v>
      </c>
      <c r="AC22" s="18">
        <f t="shared" si="6"/>
        <v>0</v>
      </c>
      <c r="AD22" s="18">
        <f t="shared" si="6"/>
        <v>0</v>
      </c>
      <c r="AE22" s="3"/>
    </row>
    <row r="23" spans="1:31" x14ac:dyDescent="0.25">
      <c r="A23" t="s">
        <v>137</v>
      </c>
      <c r="B23" s="1" t="s">
        <v>89</v>
      </c>
      <c r="C23" t="s">
        <v>144</v>
      </c>
      <c r="D23" s="17"/>
      <c r="E23" s="17"/>
      <c r="F23" s="17"/>
      <c r="G23" s="17">
        <v>3</v>
      </c>
      <c r="H23" s="17">
        <f>3*SUM($G$21:H21)</f>
        <v>6</v>
      </c>
      <c r="I23" s="17">
        <f>3*SUM($G$21:I21)</f>
        <v>9</v>
      </c>
      <c r="J23" s="17">
        <f>3*SUM($G$21:J21)</f>
        <v>12</v>
      </c>
      <c r="K23" s="17">
        <f>3*SUM($G$21:K21)</f>
        <v>15</v>
      </c>
      <c r="L23" s="17">
        <f>3*SUM($G$21:L21)</f>
        <v>15</v>
      </c>
      <c r="M23" s="17">
        <f>3*SUM($G$21:M21)</f>
        <v>15</v>
      </c>
      <c r="N23" s="17">
        <f>3*SUM($G$21:N21)</f>
        <v>15</v>
      </c>
      <c r="O23" s="17">
        <f>3*SUM($G$21:O21)</f>
        <v>15</v>
      </c>
      <c r="P23" s="17">
        <f>3*SUM($G$21:P21)</f>
        <v>15</v>
      </c>
      <c r="Q23" s="17">
        <f>$P$23-G23</f>
        <v>12</v>
      </c>
      <c r="R23" s="17">
        <f>$P$23-H23</f>
        <v>9</v>
      </c>
      <c r="S23" s="17">
        <f>$P$23-I23</f>
        <v>6</v>
      </c>
      <c r="T23" s="17">
        <f>$P$23-J23</f>
        <v>3</v>
      </c>
      <c r="U23" s="17"/>
      <c r="V23" s="17"/>
      <c r="W23" s="17"/>
      <c r="X23" s="17"/>
      <c r="Y23" s="17"/>
      <c r="Z23" s="17"/>
      <c r="AA23" s="17"/>
      <c r="AB23" s="17"/>
      <c r="AC23" s="17"/>
      <c r="AD23" s="17"/>
      <c r="AE23" s="3"/>
    </row>
    <row r="24" spans="1:31" x14ac:dyDescent="0.25">
      <c r="A24" t="s">
        <v>139</v>
      </c>
      <c r="B24" s="1" t="s">
        <v>226</v>
      </c>
      <c r="C24" t="s">
        <v>120</v>
      </c>
      <c r="D24" s="18">
        <f>NPV(0.05,F24:AD24)</f>
        <v>35925.320114447102</v>
      </c>
      <c r="E24" s="18"/>
      <c r="F24" s="18"/>
      <c r="G24" s="18">
        <f>G23*G35</f>
        <v>874.94999999999993</v>
      </c>
      <c r="H24" s="18">
        <f t="shared" ref="H24:AD24" si="7">H23*H35</f>
        <v>1777.02</v>
      </c>
      <c r="I24" s="18">
        <f t="shared" si="7"/>
        <v>2739.69</v>
      </c>
      <c r="J24" s="18">
        <f t="shared" si="7"/>
        <v>3754.56</v>
      </c>
      <c r="K24" s="18">
        <f t="shared" si="7"/>
        <v>4823.8499999999995</v>
      </c>
      <c r="L24" s="18">
        <f t="shared" si="7"/>
        <v>4957.95</v>
      </c>
      <c r="M24" s="18">
        <f t="shared" si="7"/>
        <v>5095.9500000000007</v>
      </c>
      <c r="N24" s="18">
        <f t="shared" si="7"/>
        <v>5237.7</v>
      </c>
      <c r="O24" s="18">
        <f t="shared" si="7"/>
        <v>5383.5</v>
      </c>
      <c r="P24" s="18">
        <f t="shared" si="7"/>
        <v>5533.3499999999995</v>
      </c>
      <c r="Q24" s="18">
        <f t="shared" si="7"/>
        <v>4549.7999999999993</v>
      </c>
      <c r="R24" s="18">
        <f t="shared" si="7"/>
        <v>3507.2999999999997</v>
      </c>
      <c r="S24" s="18">
        <f t="shared" si="7"/>
        <v>2403.2400000000002</v>
      </c>
      <c r="T24" s="18">
        <f t="shared" si="7"/>
        <v>1235.07</v>
      </c>
      <c r="U24" s="18">
        <f t="shared" si="7"/>
        <v>0</v>
      </c>
      <c r="V24" s="18">
        <f t="shared" si="7"/>
        <v>0</v>
      </c>
      <c r="W24" s="18">
        <f t="shared" si="7"/>
        <v>0</v>
      </c>
      <c r="X24" s="18">
        <f t="shared" si="7"/>
        <v>0</v>
      </c>
      <c r="Y24" s="18">
        <f t="shared" si="7"/>
        <v>0</v>
      </c>
      <c r="Z24" s="18">
        <f t="shared" si="7"/>
        <v>0</v>
      </c>
      <c r="AA24" s="18">
        <f t="shared" si="7"/>
        <v>0</v>
      </c>
      <c r="AB24" s="18">
        <f t="shared" si="7"/>
        <v>0</v>
      </c>
      <c r="AC24" s="18">
        <f t="shared" si="7"/>
        <v>0</v>
      </c>
      <c r="AD24" s="18">
        <f t="shared" si="7"/>
        <v>0</v>
      </c>
      <c r="AE24" s="3"/>
    </row>
    <row r="25" spans="1:31" x14ac:dyDescent="0.25">
      <c r="A25" t="s">
        <v>138</v>
      </c>
      <c r="B25" s="1" t="s">
        <v>92</v>
      </c>
      <c r="C25" t="s">
        <v>144</v>
      </c>
      <c r="D25" s="17"/>
      <c r="E25" s="17"/>
      <c r="F25" s="17">
        <v>4</v>
      </c>
      <c r="G25" s="17">
        <v>6</v>
      </c>
      <c r="H25" s="17">
        <v>10</v>
      </c>
      <c r="I25" s="17">
        <v>12</v>
      </c>
      <c r="J25" s="17">
        <v>12</v>
      </c>
      <c r="K25" s="17">
        <v>10</v>
      </c>
      <c r="L25" s="17">
        <v>10</v>
      </c>
      <c r="M25" s="17"/>
      <c r="N25" s="17"/>
      <c r="O25" s="17"/>
      <c r="P25" s="17"/>
      <c r="Q25" s="17"/>
      <c r="R25" s="17"/>
      <c r="S25" s="17"/>
      <c r="T25" s="17"/>
      <c r="U25" s="17"/>
      <c r="V25" s="17"/>
      <c r="W25" s="17"/>
      <c r="X25" s="17"/>
      <c r="Y25" s="17"/>
      <c r="Z25" s="17"/>
      <c r="AA25" s="17"/>
      <c r="AB25" s="17"/>
      <c r="AC25" s="17"/>
      <c r="AD25" s="17"/>
      <c r="AE25" s="3"/>
    </row>
    <row r="26" spans="1:31" ht="30" x14ac:dyDescent="0.25">
      <c r="A26" t="s">
        <v>141</v>
      </c>
      <c r="B26" s="1" t="s">
        <v>93</v>
      </c>
      <c r="C26" t="s">
        <v>144</v>
      </c>
      <c r="D26" s="17"/>
      <c r="E26" s="17"/>
      <c r="F26" s="17">
        <f>F25</f>
        <v>4</v>
      </c>
      <c r="G26" s="17">
        <f>SUM($F$25:G25)</f>
        <v>10</v>
      </c>
      <c r="H26" s="17">
        <f>SUM($F$25:H25)</f>
        <v>20</v>
      </c>
      <c r="I26" s="17">
        <f>SUM($F$25:I25)</f>
        <v>32</v>
      </c>
      <c r="J26" s="17">
        <f>SUM($F$25:J25)</f>
        <v>44</v>
      </c>
      <c r="K26" s="17">
        <f>SUM($F$25:K25)</f>
        <v>54</v>
      </c>
      <c r="L26" s="17">
        <f>SUM($F$25:L25)</f>
        <v>64</v>
      </c>
      <c r="M26" s="17">
        <f>SUM($F$25:M25)</f>
        <v>64</v>
      </c>
      <c r="N26" s="17">
        <f>SUM($F$25:N25)</f>
        <v>64</v>
      </c>
      <c r="O26" s="17">
        <f>SUM($F$25:O25)</f>
        <v>64</v>
      </c>
      <c r="P26" s="17">
        <f t="shared" ref="P26:U26" si="8">$O$26-F26</f>
        <v>60</v>
      </c>
      <c r="Q26" s="17">
        <f t="shared" si="8"/>
        <v>54</v>
      </c>
      <c r="R26" s="17">
        <f t="shared" si="8"/>
        <v>44</v>
      </c>
      <c r="S26" s="17">
        <f t="shared" si="8"/>
        <v>32</v>
      </c>
      <c r="T26" s="17">
        <f t="shared" si="8"/>
        <v>20</v>
      </c>
      <c r="U26" s="17">
        <f t="shared" si="8"/>
        <v>10</v>
      </c>
      <c r="V26" s="17"/>
      <c r="W26" s="17"/>
      <c r="X26" s="17"/>
      <c r="Y26" s="17"/>
      <c r="Z26" s="17"/>
      <c r="AA26" s="17"/>
      <c r="AB26" s="17"/>
      <c r="AC26" s="17"/>
      <c r="AD26" s="17"/>
      <c r="AE26" s="3"/>
    </row>
    <row r="27" spans="1:31" ht="21" customHeight="1" x14ac:dyDescent="0.25">
      <c r="A27" t="s">
        <v>229</v>
      </c>
      <c r="B27" s="1" t="s">
        <v>227</v>
      </c>
      <c r="C27" t="s">
        <v>120</v>
      </c>
      <c r="D27" s="18">
        <f>NPV(0.05,F27:AD27)</f>
        <v>940837.26245874446</v>
      </c>
      <c r="E27" s="18"/>
      <c r="F27" s="18"/>
      <c r="G27" s="18">
        <f>G26*G33*0.15</f>
        <v>17098.694999999996</v>
      </c>
      <c r="H27" s="18">
        <f t="shared" ref="H27:AD27" si="9">H26*H33*0.15</f>
        <v>35149.259999999995</v>
      </c>
      <c r="I27" s="18">
        <f t="shared" si="9"/>
        <v>58308.335999999996</v>
      </c>
      <c r="J27" s="18">
        <f t="shared" si="9"/>
        <v>83124.293999999994</v>
      </c>
      <c r="K27" s="18">
        <f t="shared" si="9"/>
        <v>105770.28599999999</v>
      </c>
      <c r="L27" s="18">
        <f t="shared" si="9"/>
        <v>129970.46399999999</v>
      </c>
      <c r="M27" s="18">
        <f t="shared" si="9"/>
        <v>134753.28</v>
      </c>
      <c r="N27" s="18">
        <f t="shared" si="9"/>
        <v>139712.06399999998</v>
      </c>
      <c r="O27" s="18">
        <f t="shared" si="9"/>
        <v>144853.34399999998</v>
      </c>
      <c r="P27" s="18">
        <f t="shared" si="9"/>
        <v>140797.35</v>
      </c>
      <c r="Q27" s="18">
        <f t="shared" si="9"/>
        <v>131380.704</v>
      </c>
      <c r="R27" s="18">
        <f t="shared" si="9"/>
        <v>110990.28599999999</v>
      </c>
      <c r="S27" s="18">
        <f t="shared" si="9"/>
        <v>83690.64</v>
      </c>
      <c r="T27" s="18">
        <f t="shared" si="9"/>
        <v>54231.48</v>
      </c>
      <c r="U27" s="18">
        <f t="shared" si="9"/>
        <v>28113.584999999999</v>
      </c>
      <c r="V27" s="18">
        <f t="shared" si="9"/>
        <v>0</v>
      </c>
      <c r="W27" s="18">
        <f t="shared" si="9"/>
        <v>0</v>
      </c>
      <c r="X27" s="18">
        <f t="shared" si="9"/>
        <v>0</v>
      </c>
      <c r="Y27" s="18">
        <f t="shared" si="9"/>
        <v>0</v>
      </c>
      <c r="Z27" s="18">
        <f t="shared" si="9"/>
        <v>0</v>
      </c>
      <c r="AA27" s="18">
        <f t="shared" si="9"/>
        <v>0</v>
      </c>
      <c r="AB27" s="18">
        <f t="shared" si="9"/>
        <v>0</v>
      </c>
      <c r="AC27" s="18">
        <f t="shared" si="9"/>
        <v>0</v>
      </c>
      <c r="AD27" s="18">
        <f t="shared" si="9"/>
        <v>0</v>
      </c>
      <c r="AE27" s="3"/>
    </row>
    <row r="28" spans="1:31" ht="17.25" customHeight="1" x14ac:dyDescent="0.25">
      <c r="A28" t="s">
        <v>145</v>
      </c>
      <c r="B28" s="1" t="s">
        <v>94</v>
      </c>
      <c r="C28" t="s">
        <v>144</v>
      </c>
      <c r="D28" s="17"/>
      <c r="E28" s="17"/>
      <c r="F28" s="17"/>
      <c r="G28" s="17"/>
      <c r="H28" s="17">
        <f>I28/2</f>
        <v>7440</v>
      </c>
      <c r="I28" s="17">
        <v>14880</v>
      </c>
      <c r="J28" s="17">
        <v>29760</v>
      </c>
      <c r="K28" s="17">
        <v>44640</v>
      </c>
      <c r="L28" s="17">
        <v>59520</v>
      </c>
      <c r="M28" s="17">
        <f>$L$28-H28</f>
        <v>52080</v>
      </c>
      <c r="N28" s="17">
        <f>$L$28-I28</f>
        <v>44640</v>
      </c>
      <c r="O28" s="17">
        <f>$L$28-J28</f>
        <v>29760</v>
      </c>
      <c r="P28" s="17">
        <f>$L$28-K28</f>
        <v>14880</v>
      </c>
      <c r="Q28" s="17"/>
      <c r="R28" s="17"/>
      <c r="S28" s="17"/>
      <c r="T28" s="17"/>
      <c r="U28" s="17"/>
      <c r="V28" s="17"/>
      <c r="W28" s="17"/>
      <c r="X28" s="17"/>
      <c r="Y28" s="17"/>
      <c r="Z28" s="17"/>
      <c r="AA28" s="17"/>
      <c r="AB28" s="17"/>
      <c r="AC28" s="17"/>
      <c r="AD28" s="17"/>
      <c r="AE28" s="3"/>
    </row>
    <row r="29" spans="1:31" x14ac:dyDescent="0.25">
      <c r="A29" t="s">
        <v>171</v>
      </c>
      <c r="B29" s="1" t="s">
        <v>228</v>
      </c>
      <c r="C29" t="s">
        <v>120</v>
      </c>
      <c r="D29" s="18">
        <f>NPV(0.05,F29:AD29)</f>
        <v>85595547.630037263</v>
      </c>
      <c r="E29" s="18"/>
      <c r="F29" s="18"/>
      <c r="G29" s="18">
        <v>0</v>
      </c>
      <c r="H29" s="18">
        <f>0.1*(H28*0.33*H36+H28*0.67*H37)</f>
        <v>2492754.6648000004</v>
      </c>
      <c r="I29" s="18">
        <f t="shared" ref="I29:AD29" si="10">0.1*(I28*0.33*I36+I28*0.67*I37)</f>
        <v>5168962.6176000005</v>
      </c>
      <c r="J29" s="18">
        <f t="shared" si="10"/>
        <v>10718366.956800001</v>
      </c>
      <c r="K29" s="18">
        <f t="shared" si="10"/>
        <v>16669170.604800001</v>
      </c>
      <c r="L29" s="18">
        <f t="shared" si="10"/>
        <v>23043462.624000002</v>
      </c>
      <c r="M29" s="18">
        <f t="shared" si="10"/>
        <v>20905002.0984</v>
      </c>
      <c r="N29" s="18">
        <f t="shared" si="10"/>
        <v>18577948.435200002</v>
      </c>
      <c r="O29" s="18">
        <f t="shared" si="10"/>
        <v>12841076.928000001</v>
      </c>
      <c r="P29" s="18">
        <f t="shared" si="10"/>
        <v>6656807.4192000013</v>
      </c>
      <c r="Q29" s="18">
        <f t="shared" si="10"/>
        <v>0</v>
      </c>
      <c r="R29" s="18">
        <f t="shared" si="10"/>
        <v>0</v>
      </c>
      <c r="S29" s="18">
        <f t="shared" si="10"/>
        <v>0</v>
      </c>
      <c r="T29" s="18">
        <f t="shared" si="10"/>
        <v>0</v>
      </c>
      <c r="U29" s="18">
        <f t="shared" si="10"/>
        <v>0</v>
      </c>
      <c r="V29" s="18">
        <f t="shared" si="10"/>
        <v>0</v>
      </c>
      <c r="W29" s="18">
        <f t="shared" si="10"/>
        <v>0</v>
      </c>
      <c r="X29" s="18">
        <f t="shared" si="10"/>
        <v>0</v>
      </c>
      <c r="Y29" s="18">
        <f t="shared" si="10"/>
        <v>0</v>
      </c>
      <c r="Z29" s="18">
        <f t="shared" si="10"/>
        <v>0</v>
      </c>
      <c r="AA29" s="18">
        <f t="shared" si="10"/>
        <v>0</v>
      </c>
      <c r="AB29" s="18">
        <f t="shared" si="10"/>
        <v>0</v>
      </c>
      <c r="AC29" s="18">
        <f t="shared" si="10"/>
        <v>0</v>
      </c>
      <c r="AD29" s="18">
        <f t="shared" si="10"/>
        <v>0</v>
      </c>
      <c r="AE29" s="3"/>
    </row>
    <row r="31" spans="1:31" x14ac:dyDescent="0.25">
      <c r="A31" s="2" t="s">
        <v>147</v>
      </c>
      <c r="B31" s="2" t="s">
        <v>6</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1" ht="30" x14ac:dyDescent="0.25">
      <c r="A32" s="7" t="s">
        <v>148</v>
      </c>
      <c r="B32" s="1" t="s">
        <v>62</v>
      </c>
      <c r="C32" t="s">
        <v>120</v>
      </c>
      <c r="D32" s="19"/>
      <c r="E32" s="17">
        <v>915.36</v>
      </c>
      <c r="F32" s="17">
        <v>949.87</v>
      </c>
      <c r="G32" s="17">
        <v>977.45</v>
      </c>
      <c r="H32" s="17">
        <v>1004.66</v>
      </c>
      <c r="I32" s="17">
        <v>1041.6300000000001</v>
      </c>
      <c r="J32" s="17">
        <v>1079.96</v>
      </c>
      <c r="K32" s="17">
        <v>1119.7</v>
      </c>
      <c r="L32" s="17">
        <v>1160.9100000000001</v>
      </c>
      <c r="M32" s="17">
        <v>1203.6300000000001</v>
      </c>
      <c r="N32" s="17">
        <v>1247.92</v>
      </c>
      <c r="O32" s="17">
        <v>1293.8399999999999</v>
      </c>
      <c r="P32" s="17">
        <v>1341.45</v>
      </c>
      <c r="Q32" s="17">
        <v>1390.82</v>
      </c>
      <c r="R32" s="17">
        <v>1442</v>
      </c>
      <c r="S32" s="17">
        <v>1495.06</v>
      </c>
      <c r="T32" s="17">
        <v>1550.08</v>
      </c>
      <c r="U32" s="17">
        <v>1607.12</v>
      </c>
      <c r="V32" s="17">
        <v>1666.26</v>
      </c>
      <c r="W32" s="17">
        <v>1727.58</v>
      </c>
      <c r="X32" s="17">
        <v>1791.15</v>
      </c>
      <c r="Y32" s="17">
        <v>1857.07</v>
      </c>
      <c r="Z32" s="17">
        <v>1925.4</v>
      </c>
      <c r="AA32" s="17">
        <v>1996.26</v>
      </c>
      <c r="AB32" s="17">
        <v>2069.7199999999998</v>
      </c>
      <c r="AC32" s="17">
        <v>2145.88</v>
      </c>
      <c r="AD32" s="17">
        <v>2224.85</v>
      </c>
      <c r="AE32" s="3"/>
    </row>
    <row r="33" spans="1:31" ht="30" x14ac:dyDescent="0.25">
      <c r="A33" s="7" t="s">
        <v>149</v>
      </c>
      <c r="B33" s="1" t="s">
        <v>44</v>
      </c>
      <c r="C33" t="s">
        <v>120</v>
      </c>
      <c r="D33" s="19"/>
      <c r="E33" s="17">
        <v>10675.04</v>
      </c>
      <c r="F33" s="17">
        <v>11077.42</v>
      </c>
      <c r="G33" s="17">
        <v>11399.13</v>
      </c>
      <c r="H33" s="17">
        <v>11716.42</v>
      </c>
      <c r="I33" s="17">
        <v>12147.57</v>
      </c>
      <c r="J33" s="17">
        <v>12594.59</v>
      </c>
      <c r="K33" s="17">
        <v>13058.06</v>
      </c>
      <c r="L33" s="17">
        <v>13538.59</v>
      </c>
      <c r="M33" s="17">
        <v>14036.8</v>
      </c>
      <c r="N33" s="17">
        <v>14553.34</v>
      </c>
      <c r="O33" s="17">
        <v>15088.89</v>
      </c>
      <c r="P33" s="17">
        <v>15644.15</v>
      </c>
      <c r="Q33" s="17">
        <v>16219.84</v>
      </c>
      <c r="R33" s="17">
        <v>16816.71</v>
      </c>
      <c r="S33" s="17">
        <v>17435.55</v>
      </c>
      <c r="T33" s="17">
        <v>18077.16</v>
      </c>
      <c r="U33" s="17">
        <v>18742.39</v>
      </c>
      <c r="V33" s="17">
        <v>19432.09</v>
      </c>
      <c r="W33" s="17">
        <v>20147.169999999998</v>
      </c>
      <c r="X33" s="17">
        <v>20888.57</v>
      </c>
      <c r="Y33" s="17">
        <v>21657.25</v>
      </c>
      <c r="Z33" s="17">
        <v>22454.22</v>
      </c>
      <c r="AA33" s="17">
        <v>23280.52</v>
      </c>
      <c r="AB33" s="17">
        <v>24137.22</v>
      </c>
      <c r="AC33" s="17">
        <v>25025.45</v>
      </c>
      <c r="AD33" s="17">
        <v>25946.36</v>
      </c>
      <c r="AE33" s="3"/>
    </row>
    <row r="34" spans="1:31" x14ac:dyDescent="0.25">
      <c r="A34" s="7" t="s">
        <v>150</v>
      </c>
      <c r="B34" t="s">
        <v>7</v>
      </c>
      <c r="C34" t="s">
        <v>120</v>
      </c>
      <c r="D34" s="19"/>
      <c r="E34" s="17">
        <v>8147.13</v>
      </c>
      <c r="F34" s="17">
        <v>8454.23</v>
      </c>
      <c r="G34" s="17">
        <v>8699.75</v>
      </c>
      <c r="H34" s="17">
        <v>8941.91</v>
      </c>
      <c r="I34" s="17">
        <v>9270.9599999999991</v>
      </c>
      <c r="J34" s="17">
        <v>9612.1200000000008</v>
      </c>
      <c r="K34" s="17">
        <v>9965.84</v>
      </c>
      <c r="L34" s="17">
        <v>10332.58</v>
      </c>
      <c r="M34" s="17"/>
      <c r="N34" s="17"/>
      <c r="O34" s="17"/>
      <c r="P34" s="17"/>
      <c r="Q34" s="17"/>
      <c r="R34" s="17"/>
      <c r="S34" s="17"/>
      <c r="T34" s="17"/>
      <c r="U34" s="17"/>
      <c r="V34" s="17"/>
      <c r="W34" s="19"/>
      <c r="X34" s="19"/>
      <c r="Y34" s="19"/>
      <c r="Z34" s="19"/>
      <c r="AA34" s="19"/>
      <c r="AB34" s="19"/>
      <c r="AC34" s="19"/>
      <c r="AD34" s="19"/>
    </row>
    <row r="35" spans="1:31" x14ac:dyDescent="0.25">
      <c r="A35" s="7" t="s">
        <v>151</v>
      </c>
      <c r="B35" t="s">
        <v>46</v>
      </c>
      <c r="C35" t="s">
        <v>120</v>
      </c>
      <c r="D35" s="19"/>
      <c r="E35" s="17">
        <v>279.67</v>
      </c>
      <c r="F35" s="17">
        <v>286.31</v>
      </c>
      <c r="G35" s="17">
        <v>291.64999999999998</v>
      </c>
      <c r="H35" s="17">
        <v>296.17</v>
      </c>
      <c r="I35" s="17">
        <v>304.41000000000003</v>
      </c>
      <c r="J35" s="17">
        <v>312.88</v>
      </c>
      <c r="K35" s="17">
        <v>321.58999999999997</v>
      </c>
      <c r="L35" s="17">
        <v>330.53</v>
      </c>
      <c r="M35" s="17">
        <v>339.73</v>
      </c>
      <c r="N35" s="17">
        <v>349.18</v>
      </c>
      <c r="O35" s="17">
        <v>358.9</v>
      </c>
      <c r="P35" s="17">
        <v>368.89</v>
      </c>
      <c r="Q35" s="17">
        <v>379.15</v>
      </c>
      <c r="R35" s="17">
        <v>389.7</v>
      </c>
      <c r="S35" s="17">
        <v>400.54</v>
      </c>
      <c r="T35" s="17">
        <v>411.69</v>
      </c>
      <c r="U35" s="17">
        <v>423.14</v>
      </c>
      <c r="V35" s="17"/>
      <c r="W35" s="19"/>
      <c r="X35" s="19"/>
      <c r="Y35" s="19"/>
      <c r="Z35" s="19"/>
      <c r="AA35" s="19"/>
      <c r="AB35" s="19"/>
      <c r="AC35" s="19"/>
      <c r="AD35" s="19"/>
    </row>
    <row r="36" spans="1:31" x14ac:dyDescent="0.25">
      <c r="A36" s="7" t="s">
        <v>152</v>
      </c>
      <c r="B36" t="s">
        <v>24</v>
      </c>
      <c r="C36" t="s">
        <v>120</v>
      </c>
      <c r="D36" s="19"/>
      <c r="E36" s="17">
        <v>2860.99</v>
      </c>
      <c r="F36" s="17">
        <v>2968.83</v>
      </c>
      <c r="G36" s="17">
        <v>3055.05</v>
      </c>
      <c r="H36" s="17">
        <v>3140.09</v>
      </c>
      <c r="I36" s="17">
        <v>3255.64</v>
      </c>
      <c r="J36" s="17">
        <v>3375.45</v>
      </c>
      <c r="K36" s="17">
        <v>3499.66</v>
      </c>
      <c r="L36" s="17">
        <v>3628.44</v>
      </c>
      <c r="M36" s="17">
        <v>3761.97</v>
      </c>
      <c r="N36" s="17">
        <v>3900.4</v>
      </c>
      <c r="O36" s="17">
        <v>4043.93</v>
      </c>
      <c r="P36" s="17">
        <v>4192.75</v>
      </c>
      <c r="Q36" s="17">
        <v>4347.04</v>
      </c>
      <c r="R36" s="17">
        <v>4507</v>
      </c>
      <c r="S36" s="17">
        <v>4672.8599999999997</v>
      </c>
      <c r="T36" s="17">
        <v>4844.82</v>
      </c>
      <c r="U36" s="17">
        <v>5023.1000000000004</v>
      </c>
      <c r="V36" s="19"/>
      <c r="W36" s="19"/>
      <c r="X36" s="19"/>
      <c r="Y36" s="19"/>
      <c r="Z36" s="19"/>
      <c r="AA36" s="19"/>
      <c r="AB36" s="19"/>
      <c r="AC36" s="19"/>
      <c r="AD36" s="19"/>
    </row>
    <row r="37" spans="1:31" x14ac:dyDescent="0.25">
      <c r="A37" s="7" t="s">
        <v>153</v>
      </c>
      <c r="B37" t="s">
        <v>25</v>
      </c>
      <c r="C37" t="s">
        <v>120</v>
      </c>
      <c r="D37" s="19"/>
      <c r="E37" s="17">
        <v>3147.09</v>
      </c>
      <c r="F37" s="17">
        <v>3265.72</v>
      </c>
      <c r="G37" s="17">
        <v>3360.56</v>
      </c>
      <c r="H37" s="17">
        <v>3454.1</v>
      </c>
      <c r="I37" s="17">
        <v>3581.2</v>
      </c>
      <c r="J37" s="17">
        <v>3712.99</v>
      </c>
      <c r="K37" s="17">
        <v>3849.62</v>
      </c>
      <c r="L37" s="17">
        <v>3991.29</v>
      </c>
      <c r="M37" s="17">
        <v>4138.16</v>
      </c>
      <c r="N37" s="17">
        <v>4290.4399999999996</v>
      </c>
      <c r="O37" s="17">
        <v>4448.33</v>
      </c>
      <c r="P37" s="17">
        <v>4612.0200000000004</v>
      </c>
      <c r="Q37" s="17">
        <v>4781.74</v>
      </c>
      <c r="R37" s="17">
        <v>4957.7</v>
      </c>
      <c r="S37" s="17">
        <v>5140.1400000000003</v>
      </c>
      <c r="T37" s="17">
        <v>5329.3</v>
      </c>
      <c r="U37" s="17">
        <v>5525.41</v>
      </c>
      <c r="V37" s="19"/>
      <c r="W37" s="19"/>
      <c r="X37" s="19"/>
      <c r="Y37" s="19"/>
      <c r="Z37" s="19"/>
      <c r="AA37" s="19"/>
      <c r="AB37" s="19"/>
      <c r="AC37" s="19"/>
      <c r="AD37" s="19"/>
    </row>
    <row r="39" spans="1:31" x14ac:dyDescent="0.25">
      <c r="A39" s="2" t="s">
        <v>155</v>
      </c>
      <c r="B39" s="36" t="s">
        <v>277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1" x14ac:dyDescent="0.25">
      <c r="A40" t="s">
        <v>156</v>
      </c>
      <c r="B40" t="s">
        <v>65</v>
      </c>
    </row>
    <row r="41" spans="1:31" x14ac:dyDescent="0.25">
      <c r="A41" t="s">
        <v>157</v>
      </c>
      <c r="B41" t="s">
        <v>275</v>
      </c>
    </row>
    <row r="42" spans="1:31" x14ac:dyDescent="0.25">
      <c r="A42" t="s">
        <v>222</v>
      </c>
      <c r="B42" t="s">
        <v>87</v>
      </c>
    </row>
    <row r="43" spans="1:31" x14ac:dyDescent="0.25">
      <c r="A43" t="s">
        <v>223</v>
      </c>
      <c r="B43" t="s">
        <v>91</v>
      </c>
    </row>
    <row r="44" spans="1:31" x14ac:dyDescent="0.25">
      <c r="A44" t="s">
        <v>224</v>
      </c>
      <c r="B44" t="s">
        <v>95</v>
      </c>
    </row>
  </sheetData>
  <mergeCells count="5">
    <mergeCell ref="B2:B3"/>
    <mergeCell ref="D2:D3"/>
    <mergeCell ref="E1:AD1"/>
    <mergeCell ref="A1:A3"/>
    <mergeCell ref="C2:C3"/>
  </mergeCells>
  <phoneticPr fontId="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81CF6-F054-4E4D-9095-DE89F8CFB5F5}">
  <sheetPr codeName="Sheet15">
    <tabColor theme="9" tint="0.79998168889431442"/>
  </sheetPr>
  <dimension ref="A1:AD23"/>
  <sheetViews>
    <sheetView workbookViewId="0">
      <selection activeCell="A8" sqref="A8:B10"/>
    </sheetView>
  </sheetViews>
  <sheetFormatPr defaultRowHeight="15" x14ac:dyDescent="0.25"/>
  <cols>
    <col min="2" max="2" width="78" customWidth="1"/>
    <col min="3" max="3" width="11.5703125" customWidth="1"/>
    <col min="4" max="4" width="10.5703125" bestFit="1" customWidth="1"/>
    <col min="5" max="5" width="9.85546875" bestFit="1" customWidth="1"/>
    <col min="12" max="18" width="9.85546875" bestFit="1" customWidth="1"/>
  </cols>
  <sheetData>
    <row r="1" spans="1:21" ht="15" customHeight="1" x14ac:dyDescent="0.25">
      <c r="A1" s="42" t="s">
        <v>117</v>
      </c>
      <c r="B1" s="15" t="s">
        <v>108</v>
      </c>
      <c r="C1" s="15" t="s">
        <v>118</v>
      </c>
      <c r="D1" s="15"/>
      <c r="E1" s="42" t="s">
        <v>5</v>
      </c>
      <c r="F1" s="42"/>
      <c r="G1" s="42"/>
      <c r="H1" s="42"/>
      <c r="I1" s="42"/>
      <c r="J1" s="42"/>
      <c r="K1" s="42"/>
      <c r="L1" s="42"/>
      <c r="M1" s="42"/>
      <c r="N1" s="42"/>
      <c r="O1" s="42"/>
      <c r="P1" s="42"/>
      <c r="Q1" s="42"/>
      <c r="R1" s="42"/>
      <c r="S1" s="42"/>
      <c r="T1" s="42"/>
      <c r="U1" s="42"/>
    </row>
    <row r="2" spans="1:2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21"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21" x14ac:dyDescent="0.25">
      <c r="A4" t="s">
        <v>115</v>
      </c>
      <c r="B4" t="s">
        <v>319</v>
      </c>
      <c r="C4" t="s">
        <v>120</v>
      </c>
      <c r="D4" s="18">
        <f>E4+NPV(0.05,F4:L4)</f>
        <v>42998561.096621923</v>
      </c>
      <c r="E4" s="18">
        <f>50688117/8</f>
        <v>6336014.625</v>
      </c>
      <c r="F4" s="18">
        <f t="shared" ref="F4:L4" si="0">50688117/8</f>
        <v>6336014.625</v>
      </c>
      <c r="G4" s="18">
        <f t="shared" si="0"/>
        <v>6336014.625</v>
      </c>
      <c r="H4" s="18">
        <f t="shared" si="0"/>
        <v>6336014.625</v>
      </c>
      <c r="I4" s="18">
        <f t="shared" si="0"/>
        <v>6336014.625</v>
      </c>
      <c r="J4" s="18">
        <f t="shared" si="0"/>
        <v>6336014.625</v>
      </c>
      <c r="K4" s="18">
        <f t="shared" si="0"/>
        <v>6336014.625</v>
      </c>
      <c r="L4" s="18">
        <f t="shared" si="0"/>
        <v>6336014.625</v>
      </c>
      <c r="M4" s="22"/>
      <c r="N4" s="22"/>
      <c r="O4" s="22"/>
      <c r="P4" s="22"/>
      <c r="Q4" s="22"/>
      <c r="R4" s="22"/>
      <c r="S4" s="22"/>
      <c r="T4" s="22"/>
      <c r="U4" s="22"/>
    </row>
    <row r="5" spans="1:21" x14ac:dyDescent="0.25">
      <c r="A5" t="s">
        <v>116</v>
      </c>
      <c r="B5" t="s">
        <v>315</v>
      </c>
      <c r="C5" t="s">
        <v>120</v>
      </c>
      <c r="D5" s="18">
        <f>SUM(D12:D13)</f>
        <v>83655849.738424703</v>
      </c>
      <c r="E5" s="18">
        <f t="shared" ref="E5:U5" si="1">SUM(E12:E13)</f>
        <v>0</v>
      </c>
      <c r="F5" s="18">
        <f t="shared" si="1"/>
        <v>737099.12</v>
      </c>
      <c r="G5" s="18">
        <f t="shared" si="1"/>
        <v>1517002.4000000001</v>
      </c>
      <c r="H5" s="18">
        <f t="shared" si="1"/>
        <v>3333863.7439999999</v>
      </c>
      <c r="I5" s="18">
        <f t="shared" si="1"/>
        <v>5296480.2240000004</v>
      </c>
      <c r="J5" s="18">
        <f t="shared" si="1"/>
        <v>7399021.9520000014</v>
      </c>
      <c r="K5" s="18">
        <f t="shared" si="1"/>
        <v>9649126.7200000007</v>
      </c>
      <c r="L5" s="18">
        <f t="shared" si="1"/>
        <v>12054889.440000001</v>
      </c>
      <c r="M5" s="18">
        <f t="shared" si="1"/>
        <v>12498493.920000002</v>
      </c>
      <c r="N5" s="18">
        <f t="shared" si="1"/>
        <v>12958401.280000001</v>
      </c>
      <c r="O5" s="18">
        <f t="shared" si="1"/>
        <v>13435234.559999999</v>
      </c>
      <c r="P5" s="18">
        <f t="shared" si="1"/>
        <v>12888651.6</v>
      </c>
      <c r="Q5" s="18">
        <f t="shared" si="1"/>
        <v>12283722.24</v>
      </c>
      <c r="R5" s="18">
        <f t="shared" si="1"/>
        <v>10188595.200000001</v>
      </c>
      <c r="S5" s="18">
        <f t="shared" si="1"/>
        <v>7922621.9519999996</v>
      </c>
      <c r="T5" s="18">
        <f t="shared" si="1"/>
        <v>5476122.6239999989</v>
      </c>
      <c r="U5" s="18">
        <f t="shared" si="1"/>
        <v>2838816.7679999992</v>
      </c>
    </row>
    <row r="7" spans="1:21" x14ac:dyDescent="0.25">
      <c r="A7" t="s">
        <v>121</v>
      </c>
      <c r="B7" t="s">
        <v>179</v>
      </c>
      <c r="C7" t="s">
        <v>120</v>
      </c>
      <c r="D7" s="20">
        <f>D5-D4</f>
        <v>40657288.64180278</v>
      </c>
    </row>
    <row r="8" spans="1:21" x14ac:dyDescent="0.25">
      <c r="A8" t="s">
        <v>244</v>
      </c>
      <c r="B8" t="s">
        <v>247</v>
      </c>
      <c r="C8" t="s">
        <v>126</v>
      </c>
      <c r="D8" s="21">
        <f>D5/D4</f>
        <v>1.9455499813224428</v>
      </c>
    </row>
    <row r="9" spans="1:21" x14ac:dyDescent="0.25">
      <c r="A9" t="s">
        <v>245</v>
      </c>
      <c r="B9" t="s">
        <v>248</v>
      </c>
      <c r="C9" t="s">
        <v>126</v>
      </c>
      <c r="D9" s="21">
        <f>D5/D4</f>
        <v>1.9455499813224428</v>
      </c>
    </row>
    <row r="10" spans="1:21" x14ac:dyDescent="0.25">
      <c r="A10" t="s">
        <v>246</v>
      </c>
      <c r="B10" t="s">
        <v>249</v>
      </c>
      <c r="C10" t="s">
        <v>126</v>
      </c>
      <c r="D10" s="21">
        <f>D5/D4</f>
        <v>1.9455499813224428</v>
      </c>
    </row>
    <row r="12" spans="1:21" x14ac:dyDescent="0.25">
      <c r="A12" t="s">
        <v>122</v>
      </c>
      <c r="B12" t="s">
        <v>124</v>
      </c>
      <c r="C12" t="s">
        <v>120</v>
      </c>
      <c r="D12" s="18">
        <f>SUM(E12:U12)</f>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row>
    <row r="13" spans="1:21" x14ac:dyDescent="0.25">
      <c r="A13" t="s">
        <v>123</v>
      </c>
      <c r="B13" t="s">
        <v>125</v>
      </c>
      <c r="C13" t="s">
        <v>120</v>
      </c>
      <c r="D13" s="18">
        <f>D15</f>
        <v>83655849.738424703</v>
      </c>
      <c r="E13" s="18">
        <f t="shared" ref="E13:U13" si="2">E15</f>
        <v>0</v>
      </c>
      <c r="F13" s="18">
        <f t="shared" si="2"/>
        <v>737099.12</v>
      </c>
      <c r="G13" s="18">
        <f t="shared" si="2"/>
        <v>1517002.4000000001</v>
      </c>
      <c r="H13" s="18">
        <f t="shared" si="2"/>
        <v>3333863.7439999999</v>
      </c>
      <c r="I13" s="18">
        <f t="shared" si="2"/>
        <v>5296480.2240000004</v>
      </c>
      <c r="J13" s="18">
        <f t="shared" si="2"/>
        <v>7399021.9520000014</v>
      </c>
      <c r="K13" s="18">
        <f t="shared" si="2"/>
        <v>9649126.7200000007</v>
      </c>
      <c r="L13" s="18">
        <f t="shared" si="2"/>
        <v>12054889.440000001</v>
      </c>
      <c r="M13" s="18">
        <f t="shared" si="2"/>
        <v>12498493.920000002</v>
      </c>
      <c r="N13" s="18">
        <f t="shared" si="2"/>
        <v>12958401.280000001</v>
      </c>
      <c r="O13" s="18">
        <f t="shared" si="2"/>
        <v>13435234.559999999</v>
      </c>
      <c r="P13" s="18">
        <f t="shared" si="2"/>
        <v>12888651.6</v>
      </c>
      <c r="Q13" s="18">
        <f t="shared" si="2"/>
        <v>12283722.24</v>
      </c>
      <c r="R13" s="18">
        <f t="shared" si="2"/>
        <v>10188595.200000001</v>
      </c>
      <c r="S13" s="18">
        <f t="shared" si="2"/>
        <v>7922621.9519999996</v>
      </c>
      <c r="T13" s="18">
        <f t="shared" si="2"/>
        <v>5476122.6239999989</v>
      </c>
      <c r="U13" s="18">
        <f t="shared" si="2"/>
        <v>2838816.7679999992</v>
      </c>
    </row>
    <row r="15" spans="1:21" x14ac:dyDescent="0.25">
      <c r="A15" s="2" t="s">
        <v>127</v>
      </c>
      <c r="B15" s="2" t="s">
        <v>242</v>
      </c>
      <c r="C15" s="2"/>
      <c r="D15" s="23">
        <f>D17</f>
        <v>83655849.738424703</v>
      </c>
      <c r="E15" s="23">
        <f t="shared" ref="E15:U15" si="3">E17</f>
        <v>0</v>
      </c>
      <c r="F15" s="23">
        <f t="shared" si="3"/>
        <v>737099.12</v>
      </c>
      <c r="G15" s="23">
        <f t="shared" si="3"/>
        <v>1517002.4000000001</v>
      </c>
      <c r="H15" s="23">
        <f t="shared" si="3"/>
        <v>3333863.7439999999</v>
      </c>
      <c r="I15" s="23">
        <f t="shared" si="3"/>
        <v>5296480.2240000004</v>
      </c>
      <c r="J15" s="23">
        <f t="shared" si="3"/>
        <v>7399021.9520000014</v>
      </c>
      <c r="K15" s="23">
        <f t="shared" si="3"/>
        <v>9649126.7200000007</v>
      </c>
      <c r="L15" s="23">
        <f t="shared" si="3"/>
        <v>12054889.440000001</v>
      </c>
      <c r="M15" s="23">
        <f t="shared" si="3"/>
        <v>12498493.920000002</v>
      </c>
      <c r="N15" s="23">
        <f t="shared" si="3"/>
        <v>12958401.280000001</v>
      </c>
      <c r="O15" s="23">
        <f t="shared" si="3"/>
        <v>13435234.559999999</v>
      </c>
      <c r="P15" s="23">
        <f t="shared" si="3"/>
        <v>12888651.6</v>
      </c>
      <c r="Q15" s="23">
        <f t="shared" si="3"/>
        <v>12283722.24</v>
      </c>
      <c r="R15" s="23">
        <f t="shared" si="3"/>
        <v>10188595.200000001</v>
      </c>
      <c r="S15" s="23">
        <f t="shared" si="3"/>
        <v>7922621.9519999996</v>
      </c>
      <c r="T15" s="23">
        <f t="shared" si="3"/>
        <v>5476122.6239999989</v>
      </c>
      <c r="U15" s="23">
        <f t="shared" si="3"/>
        <v>2838816.7679999992</v>
      </c>
    </row>
    <row r="16" spans="1:21" x14ac:dyDescent="0.25">
      <c r="A16" t="s">
        <v>129</v>
      </c>
      <c r="B16" t="s">
        <v>212</v>
      </c>
      <c r="C16" t="s">
        <v>144</v>
      </c>
      <c r="D16" s="17">
        <v>10384</v>
      </c>
      <c r="E16" s="17"/>
      <c r="F16" s="17">
        <f>G16/2</f>
        <v>776</v>
      </c>
      <c r="G16" s="17">
        <v>1552</v>
      </c>
      <c r="H16" s="17">
        <f>G16+($L$16-$G$16)/5</f>
        <v>3318.4</v>
      </c>
      <c r="I16" s="17">
        <f>H16+($L$16-$G$16)/5</f>
        <v>5084.8</v>
      </c>
      <c r="J16" s="17">
        <f>I16+($L$16-$G$16)/5</f>
        <v>6851.2000000000007</v>
      </c>
      <c r="K16" s="17">
        <f>J16+($L$16-$G$16)/5</f>
        <v>8617.6</v>
      </c>
      <c r="L16" s="17">
        <v>10384</v>
      </c>
      <c r="M16" s="17">
        <v>10384</v>
      </c>
      <c r="N16" s="17">
        <v>10384</v>
      </c>
      <c r="O16" s="17">
        <v>10384</v>
      </c>
      <c r="P16" s="17">
        <f>L16-F16</f>
        <v>9608</v>
      </c>
      <c r="Q16" s="17">
        <f>L16-G16</f>
        <v>8832</v>
      </c>
      <c r="R16" s="17">
        <f>L16-H16</f>
        <v>7065.6</v>
      </c>
      <c r="S16" s="17">
        <f>L16-I16</f>
        <v>5299.2</v>
      </c>
      <c r="T16" s="17">
        <f>L16-J16</f>
        <v>3532.7999999999993</v>
      </c>
      <c r="U16" s="17">
        <f>L16-K16</f>
        <v>1766.3999999999996</v>
      </c>
    </row>
    <row r="17" spans="1:30" x14ac:dyDescent="0.25">
      <c r="A17" t="s">
        <v>130</v>
      </c>
      <c r="B17" t="s">
        <v>206</v>
      </c>
      <c r="C17" t="s">
        <v>120</v>
      </c>
      <c r="D17" s="18">
        <f>NPV(0.05,F17:U17)</f>
        <v>83655849.738424703</v>
      </c>
      <c r="E17" s="18"/>
      <c r="F17" s="18">
        <f>F16*F20</f>
        <v>737099.12</v>
      </c>
      <c r="G17" s="18">
        <f t="shared" ref="G17:U17" si="4">G16*G20</f>
        <v>1517002.4000000001</v>
      </c>
      <c r="H17" s="18">
        <f t="shared" si="4"/>
        <v>3333863.7439999999</v>
      </c>
      <c r="I17" s="18">
        <f t="shared" si="4"/>
        <v>5296480.2240000004</v>
      </c>
      <c r="J17" s="18">
        <f t="shared" si="4"/>
        <v>7399021.9520000014</v>
      </c>
      <c r="K17" s="18">
        <f t="shared" si="4"/>
        <v>9649126.7200000007</v>
      </c>
      <c r="L17" s="18">
        <f t="shared" si="4"/>
        <v>12054889.440000001</v>
      </c>
      <c r="M17" s="18">
        <f t="shared" si="4"/>
        <v>12498493.920000002</v>
      </c>
      <c r="N17" s="18">
        <f t="shared" si="4"/>
        <v>12958401.280000001</v>
      </c>
      <c r="O17" s="18">
        <f t="shared" si="4"/>
        <v>13435234.559999999</v>
      </c>
      <c r="P17" s="18">
        <f t="shared" si="4"/>
        <v>12888651.6</v>
      </c>
      <c r="Q17" s="18">
        <f t="shared" si="4"/>
        <v>12283722.24</v>
      </c>
      <c r="R17" s="18">
        <f t="shared" si="4"/>
        <v>10188595.200000001</v>
      </c>
      <c r="S17" s="18">
        <f t="shared" si="4"/>
        <v>7922621.9519999996</v>
      </c>
      <c r="T17" s="18">
        <f t="shared" si="4"/>
        <v>5476122.6239999989</v>
      </c>
      <c r="U17" s="18">
        <f t="shared" si="4"/>
        <v>2838816.7679999992</v>
      </c>
    </row>
    <row r="19" spans="1:30" x14ac:dyDescent="0.25">
      <c r="A19" s="2" t="s">
        <v>147</v>
      </c>
      <c r="B19" s="2" t="s">
        <v>6</v>
      </c>
      <c r="C19" s="2"/>
      <c r="D19" s="2"/>
      <c r="E19" s="2"/>
      <c r="F19" s="2"/>
      <c r="G19" s="2"/>
      <c r="H19" s="2"/>
      <c r="I19" s="2"/>
      <c r="J19" s="2"/>
      <c r="K19" s="2"/>
      <c r="L19" s="2"/>
      <c r="M19" s="2"/>
      <c r="N19" s="2"/>
      <c r="O19" s="2"/>
      <c r="P19" s="2"/>
      <c r="Q19" s="2"/>
      <c r="R19" s="2"/>
      <c r="S19" s="2"/>
      <c r="T19" s="2"/>
      <c r="U19" s="2"/>
    </row>
    <row r="20" spans="1:30" x14ac:dyDescent="0.25">
      <c r="A20" s="7" t="s">
        <v>148</v>
      </c>
      <c r="B20" t="s">
        <v>62</v>
      </c>
      <c r="C20" t="s">
        <v>120</v>
      </c>
      <c r="D20" s="17"/>
      <c r="E20" s="17">
        <v>915.36</v>
      </c>
      <c r="F20" s="17">
        <v>949.87</v>
      </c>
      <c r="G20" s="17">
        <v>977.45</v>
      </c>
      <c r="H20" s="17">
        <v>1004.66</v>
      </c>
      <c r="I20" s="17">
        <v>1041.6300000000001</v>
      </c>
      <c r="J20" s="17">
        <v>1079.96</v>
      </c>
      <c r="K20" s="17">
        <v>1119.7</v>
      </c>
      <c r="L20" s="17">
        <v>1160.9100000000001</v>
      </c>
      <c r="M20" s="17">
        <v>1203.6300000000001</v>
      </c>
      <c r="N20" s="17">
        <v>1247.92</v>
      </c>
      <c r="O20" s="17">
        <v>1293.8399999999999</v>
      </c>
      <c r="P20" s="17">
        <v>1341.45</v>
      </c>
      <c r="Q20" s="17">
        <v>1390.82</v>
      </c>
      <c r="R20" s="17">
        <v>1442</v>
      </c>
      <c r="S20" s="17">
        <v>1495.06</v>
      </c>
      <c r="T20" s="17">
        <v>1550.08</v>
      </c>
      <c r="U20" s="17">
        <v>1607.12</v>
      </c>
    </row>
    <row r="22" spans="1:30" x14ac:dyDescent="0.25">
      <c r="A22" s="2" t="s">
        <v>155</v>
      </c>
      <c r="B22" s="36" t="s">
        <v>277</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x14ac:dyDescent="0.25">
      <c r="A23" t="s">
        <v>156</v>
      </c>
      <c r="B23" t="s">
        <v>281</v>
      </c>
    </row>
  </sheetData>
  <mergeCells count="5">
    <mergeCell ref="B2:B3"/>
    <mergeCell ref="D2:D3"/>
    <mergeCell ref="E1:U1"/>
    <mergeCell ref="A1:A3"/>
    <mergeCell ref="C2:C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0699D-63E4-4321-B03B-0B51524F14AC}">
  <sheetPr codeName="Sheet16">
    <tabColor theme="9" tint="0.79998168889431442"/>
  </sheetPr>
  <dimension ref="A1:U30"/>
  <sheetViews>
    <sheetView workbookViewId="0">
      <selection activeCell="D10" sqref="D10"/>
    </sheetView>
  </sheetViews>
  <sheetFormatPr defaultRowHeight="15" x14ac:dyDescent="0.25"/>
  <cols>
    <col min="2" max="2" width="76.7109375" customWidth="1"/>
    <col min="3" max="3" width="11.5703125" customWidth="1"/>
    <col min="4" max="4" width="11" customWidth="1"/>
    <col min="5" max="5" width="9.85546875" bestFit="1" customWidth="1"/>
    <col min="12" max="18" width="9.85546875" bestFit="1" customWidth="1"/>
  </cols>
  <sheetData>
    <row r="1" spans="1:21" ht="15" customHeight="1" x14ac:dyDescent="0.25">
      <c r="A1" s="42" t="s">
        <v>117</v>
      </c>
      <c r="B1" s="15" t="s">
        <v>109</v>
      </c>
      <c r="C1" s="15" t="s">
        <v>118</v>
      </c>
      <c r="D1" s="15"/>
      <c r="E1" s="42" t="s">
        <v>5</v>
      </c>
      <c r="F1" s="42"/>
      <c r="G1" s="42"/>
      <c r="H1" s="42"/>
      <c r="I1" s="42"/>
      <c r="J1" s="42"/>
      <c r="K1" s="42"/>
      <c r="L1" s="42"/>
      <c r="M1" s="42"/>
      <c r="N1" s="42"/>
      <c r="O1" s="42"/>
      <c r="P1" s="42"/>
      <c r="Q1" s="42"/>
      <c r="R1" s="42"/>
      <c r="S1" s="42"/>
      <c r="T1" s="42"/>
      <c r="U1" s="42"/>
    </row>
    <row r="2" spans="1:2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21"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21" x14ac:dyDescent="0.25">
      <c r="A4" t="s">
        <v>230</v>
      </c>
      <c r="B4" t="s">
        <v>330</v>
      </c>
      <c r="C4" t="s">
        <v>120</v>
      </c>
      <c r="D4" s="18">
        <f>E4+NPV(0.05,F4:L4)</f>
        <v>25767680.799320213</v>
      </c>
      <c r="E4" s="18">
        <f>30375789/8</f>
        <v>3796973.625</v>
      </c>
      <c r="F4" s="18">
        <f t="shared" ref="F4:L4" si="0">30375789/8</f>
        <v>3796973.625</v>
      </c>
      <c r="G4" s="18">
        <f t="shared" si="0"/>
        <v>3796973.625</v>
      </c>
      <c r="H4" s="18">
        <f t="shared" si="0"/>
        <v>3796973.625</v>
      </c>
      <c r="I4" s="18">
        <f t="shared" si="0"/>
        <v>3796973.625</v>
      </c>
      <c r="J4" s="18">
        <f t="shared" si="0"/>
        <v>3796973.625</v>
      </c>
      <c r="K4" s="18">
        <f t="shared" si="0"/>
        <v>3796973.625</v>
      </c>
      <c r="L4" s="18">
        <f t="shared" si="0"/>
        <v>3796973.625</v>
      </c>
      <c r="M4" s="22"/>
      <c r="N4" s="22"/>
      <c r="O4" s="22"/>
      <c r="P4" s="22"/>
      <c r="Q4" s="22"/>
      <c r="R4" s="22"/>
      <c r="S4" s="22"/>
      <c r="T4" s="22"/>
      <c r="U4" s="22"/>
    </row>
    <row r="5" spans="1:21" x14ac:dyDescent="0.25">
      <c r="A5" t="s">
        <v>204</v>
      </c>
      <c r="B5" t="s">
        <v>321</v>
      </c>
      <c r="C5" t="s">
        <v>120</v>
      </c>
      <c r="D5" s="18">
        <f>E5+NPV(0.05,F5:L5)</f>
        <v>18037376.559524145</v>
      </c>
      <c r="E5" s="18">
        <f>E4*0.7</f>
        <v>2657881.5374999996</v>
      </c>
      <c r="F5" s="18">
        <f t="shared" ref="F5:L5" si="1">F4*0.7</f>
        <v>2657881.5374999996</v>
      </c>
      <c r="G5" s="18">
        <f t="shared" si="1"/>
        <v>2657881.5374999996</v>
      </c>
      <c r="H5" s="18">
        <f t="shared" si="1"/>
        <v>2657881.5374999996</v>
      </c>
      <c r="I5" s="18">
        <f t="shared" si="1"/>
        <v>2657881.5374999996</v>
      </c>
      <c r="J5" s="18">
        <f t="shared" si="1"/>
        <v>2657881.5374999996</v>
      </c>
      <c r="K5" s="18">
        <f t="shared" si="1"/>
        <v>2657881.5374999996</v>
      </c>
      <c r="L5" s="18">
        <f t="shared" si="1"/>
        <v>2657881.5374999996</v>
      </c>
      <c r="M5" s="22"/>
      <c r="N5" s="22"/>
      <c r="O5" s="22"/>
      <c r="P5" s="22"/>
      <c r="Q5" s="22"/>
      <c r="R5" s="22"/>
      <c r="S5" s="22"/>
      <c r="T5" s="22"/>
      <c r="U5" s="22"/>
    </row>
    <row r="6" spans="1:21" x14ac:dyDescent="0.25">
      <c r="A6" t="s">
        <v>161</v>
      </c>
      <c r="B6" t="s">
        <v>329</v>
      </c>
      <c r="C6" t="s">
        <v>120</v>
      </c>
      <c r="D6" s="18">
        <f>SUM(D14:D15)</f>
        <v>62762023.127406776</v>
      </c>
      <c r="E6" s="18">
        <f t="shared" ref="E6:U6" si="2">SUM(E14:E15)</f>
        <v>0</v>
      </c>
      <c r="F6" s="18">
        <f t="shared" si="2"/>
        <v>558048.625</v>
      </c>
      <c r="G6" s="18">
        <f t="shared" si="2"/>
        <v>1148503.75</v>
      </c>
      <c r="H6" s="18">
        <f t="shared" si="2"/>
        <v>2509640.6799999997</v>
      </c>
      <c r="I6" s="18">
        <f t="shared" si="2"/>
        <v>3980068.2300000004</v>
      </c>
      <c r="J6" s="18">
        <f t="shared" si="2"/>
        <v>5555314.2400000002</v>
      </c>
      <c r="K6" s="18">
        <f t="shared" si="2"/>
        <v>7241099.9000000004</v>
      </c>
      <c r="L6" s="18">
        <f t="shared" si="2"/>
        <v>9043488.9000000004</v>
      </c>
      <c r="M6" s="18">
        <f t="shared" si="2"/>
        <v>9376277.7000000011</v>
      </c>
      <c r="N6" s="18">
        <f t="shared" si="2"/>
        <v>9721296.8000000007</v>
      </c>
      <c r="O6" s="18">
        <f t="shared" si="2"/>
        <v>10079013.6</v>
      </c>
      <c r="P6" s="18">
        <f t="shared" si="2"/>
        <v>9661793.625</v>
      </c>
      <c r="Q6" s="18">
        <f t="shared" si="2"/>
        <v>9200274.2999999989</v>
      </c>
      <c r="R6" s="18">
        <f t="shared" si="2"/>
        <v>7631064</v>
      </c>
      <c r="S6" s="18">
        <f t="shared" si="2"/>
        <v>5933893.1399999997</v>
      </c>
      <c r="T6" s="18">
        <f t="shared" si="2"/>
        <v>4101511.6799999997</v>
      </c>
      <c r="U6" s="18">
        <f t="shared" si="2"/>
        <v>2126219.7599999998</v>
      </c>
    </row>
    <row r="7" spans="1:21" x14ac:dyDescent="0.25">
      <c r="A7" t="s">
        <v>162</v>
      </c>
      <c r="B7" t="s">
        <v>311</v>
      </c>
      <c r="C7" t="s">
        <v>120</v>
      </c>
      <c r="D7" s="18">
        <f>NPV(0.05,F7:U7)</f>
        <v>31381011.563703388</v>
      </c>
      <c r="E7" s="18"/>
      <c r="F7" s="18">
        <f>F6*0.5</f>
        <v>279024.3125</v>
      </c>
      <c r="G7" s="18">
        <f t="shared" ref="G7:U7" si="3">G6*0.5</f>
        <v>574251.875</v>
      </c>
      <c r="H7" s="18">
        <f t="shared" si="3"/>
        <v>1254820.3399999999</v>
      </c>
      <c r="I7" s="18">
        <f t="shared" si="3"/>
        <v>1990034.1150000002</v>
      </c>
      <c r="J7" s="18">
        <f t="shared" si="3"/>
        <v>2777657.12</v>
      </c>
      <c r="K7" s="18">
        <f t="shared" si="3"/>
        <v>3620549.95</v>
      </c>
      <c r="L7" s="18">
        <f t="shared" si="3"/>
        <v>4521744.45</v>
      </c>
      <c r="M7" s="18">
        <f t="shared" si="3"/>
        <v>4688138.8500000006</v>
      </c>
      <c r="N7" s="18">
        <f t="shared" si="3"/>
        <v>4860648.4000000004</v>
      </c>
      <c r="O7" s="18">
        <f t="shared" si="3"/>
        <v>5039506.8</v>
      </c>
      <c r="P7" s="18">
        <f t="shared" si="3"/>
        <v>4830896.8125</v>
      </c>
      <c r="Q7" s="18">
        <f t="shared" si="3"/>
        <v>4600137.1499999994</v>
      </c>
      <c r="R7" s="18">
        <f t="shared" si="3"/>
        <v>3815532</v>
      </c>
      <c r="S7" s="18">
        <f t="shared" si="3"/>
        <v>2966946.57</v>
      </c>
      <c r="T7" s="18">
        <f t="shared" si="3"/>
        <v>2050755.8399999999</v>
      </c>
      <c r="U7" s="18">
        <f t="shared" si="3"/>
        <v>1063109.8799999999</v>
      </c>
    </row>
    <row r="8" spans="1:21" x14ac:dyDescent="0.25">
      <c r="D8" s="3"/>
      <c r="E8" s="3"/>
      <c r="F8" s="3"/>
      <c r="G8" s="3"/>
      <c r="H8" s="3"/>
      <c r="I8" s="3"/>
      <c r="J8" s="3"/>
      <c r="K8" s="3"/>
      <c r="L8" s="3"/>
      <c r="M8" s="3"/>
      <c r="N8" s="3"/>
      <c r="O8" s="3"/>
      <c r="P8" s="3"/>
      <c r="Q8" s="3"/>
      <c r="R8" s="3"/>
      <c r="S8" s="3"/>
      <c r="T8" s="3"/>
      <c r="U8" s="3"/>
    </row>
    <row r="9" spans="1:21" x14ac:dyDescent="0.25">
      <c r="A9" t="s">
        <v>121</v>
      </c>
      <c r="B9" t="s">
        <v>179</v>
      </c>
      <c r="C9" t="s">
        <v>120</v>
      </c>
      <c r="D9" s="20">
        <f>D6-D4</f>
        <v>36994342.328086562</v>
      </c>
    </row>
    <row r="10" spans="1:21" x14ac:dyDescent="0.25">
      <c r="A10" t="s">
        <v>244</v>
      </c>
      <c r="B10" t="s">
        <v>247</v>
      </c>
      <c r="C10" t="s">
        <v>126</v>
      </c>
      <c r="D10" s="21">
        <f>D6/D4</f>
        <v>2.4356876979422424</v>
      </c>
    </row>
    <row r="11" spans="1:21" x14ac:dyDescent="0.25">
      <c r="A11" t="s">
        <v>245</v>
      </c>
      <c r="B11" t="s">
        <v>248</v>
      </c>
      <c r="C11" t="s">
        <v>126</v>
      </c>
      <c r="D11" s="21">
        <f>D7/D5</f>
        <v>1.7397769271016024</v>
      </c>
    </row>
    <row r="12" spans="1:21" x14ac:dyDescent="0.25">
      <c r="A12" t="s">
        <v>246</v>
      </c>
      <c r="B12" t="s">
        <v>249</v>
      </c>
      <c r="C12" t="s">
        <v>126</v>
      </c>
      <c r="D12" s="21">
        <f>D10</f>
        <v>2.4356876979422424</v>
      </c>
      <c r="E12" t="s">
        <v>337</v>
      </c>
    </row>
    <row r="14" spans="1:21" x14ac:dyDescent="0.25">
      <c r="A14" t="s">
        <v>122</v>
      </c>
      <c r="B14" t="s">
        <v>124</v>
      </c>
      <c r="C14" t="s">
        <v>120</v>
      </c>
      <c r="D14" s="18">
        <f>SUM(E14:U14)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row>
    <row r="15" spans="1:21" x14ac:dyDescent="0.25">
      <c r="A15" t="s">
        <v>123</v>
      </c>
      <c r="B15" t="s">
        <v>125</v>
      </c>
      <c r="C15" t="s">
        <v>120</v>
      </c>
      <c r="D15" s="18">
        <f>D17</f>
        <v>62762023.127406776</v>
      </c>
      <c r="E15" s="18">
        <f t="shared" ref="E15:U15" si="4">E17</f>
        <v>0</v>
      </c>
      <c r="F15" s="18">
        <f t="shared" si="4"/>
        <v>558048.625</v>
      </c>
      <c r="G15" s="18">
        <f t="shared" si="4"/>
        <v>1148503.75</v>
      </c>
      <c r="H15" s="18">
        <f t="shared" si="4"/>
        <v>2509640.6799999997</v>
      </c>
      <c r="I15" s="18">
        <f t="shared" si="4"/>
        <v>3980068.2300000004</v>
      </c>
      <c r="J15" s="18">
        <f t="shared" si="4"/>
        <v>5555314.2400000002</v>
      </c>
      <c r="K15" s="18">
        <f t="shared" si="4"/>
        <v>7241099.9000000004</v>
      </c>
      <c r="L15" s="18">
        <f t="shared" si="4"/>
        <v>9043488.9000000004</v>
      </c>
      <c r="M15" s="18">
        <f t="shared" si="4"/>
        <v>9376277.7000000011</v>
      </c>
      <c r="N15" s="18">
        <f t="shared" si="4"/>
        <v>9721296.8000000007</v>
      </c>
      <c r="O15" s="18">
        <f t="shared" si="4"/>
        <v>10079013.6</v>
      </c>
      <c r="P15" s="18">
        <f t="shared" si="4"/>
        <v>9661793.625</v>
      </c>
      <c r="Q15" s="18">
        <f t="shared" si="4"/>
        <v>9200274.2999999989</v>
      </c>
      <c r="R15" s="18">
        <f t="shared" si="4"/>
        <v>7631064</v>
      </c>
      <c r="S15" s="18">
        <f t="shared" si="4"/>
        <v>5933893.1399999997</v>
      </c>
      <c r="T15" s="18">
        <f t="shared" si="4"/>
        <v>4101511.6799999997</v>
      </c>
      <c r="U15" s="18">
        <f t="shared" si="4"/>
        <v>2126219.7599999998</v>
      </c>
    </row>
    <row r="17" spans="1:21" x14ac:dyDescent="0.25">
      <c r="A17" s="2" t="s">
        <v>127</v>
      </c>
      <c r="B17" s="2" t="s">
        <v>242</v>
      </c>
      <c r="C17" s="2"/>
      <c r="D17" s="23">
        <f>D19</f>
        <v>62762023.127406776</v>
      </c>
      <c r="E17" s="23">
        <f t="shared" ref="E17:U17" si="5">E19</f>
        <v>0</v>
      </c>
      <c r="F17" s="23">
        <f t="shared" si="5"/>
        <v>558048.625</v>
      </c>
      <c r="G17" s="23">
        <f t="shared" si="5"/>
        <v>1148503.75</v>
      </c>
      <c r="H17" s="23">
        <f t="shared" si="5"/>
        <v>2509640.6799999997</v>
      </c>
      <c r="I17" s="23">
        <f t="shared" si="5"/>
        <v>3980068.2300000004</v>
      </c>
      <c r="J17" s="23">
        <f t="shared" si="5"/>
        <v>5555314.2400000002</v>
      </c>
      <c r="K17" s="23">
        <f t="shared" si="5"/>
        <v>7241099.9000000004</v>
      </c>
      <c r="L17" s="23">
        <f t="shared" si="5"/>
        <v>9043488.9000000004</v>
      </c>
      <c r="M17" s="23">
        <f t="shared" si="5"/>
        <v>9376277.7000000011</v>
      </c>
      <c r="N17" s="23">
        <f t="shared" si="5"/>
        <v>9721296.8000000007</v>
      </c>
      <c r="O17" s="23">
        <f t="shared" si="5"/>
        <v>10079013.6</v>
      </c>
      <c r="P17" s="23">
        <f t="shared" si="5"/>
        <v>9661793.625</v>
      </c>
      <c r="Q17" s="23">
        <f t="shared" si="5"/>
        <v>9200274.2999999989</v>
      </c>
      <c r="R17" s="23">
        <f t="shared" si="5"/>
        <v>7631064</v>
      </c>
      <c r="S17" s="23">
        <f t="shared" si="5"/>
        <v>5933893.1399999997</v>
      </c>
      <c r="T17" s="23">
        <f t="shared" si="5"/>
        <v>4101511.6799999997</v>
      </c>
      <c r="U17" s="23">
        <f t="shared" si="5"/>
        <v>2126219.7599999998</v>
      </c>
    </row>
    <row r="18" spans="1:21" x14ac:dyDescent="0.25">
      <c r="A18" t="s">
        <v>129</v>
      </c>
      <c r="B18" t="s">
        <v>212</v>
      </c>
      <c r="C18" t="s">
        <v>144</v>
      </c>
      <c r="D18" s="19">
        <v>7790</v>
      </c>
      <c r="E18" s="19"/>
      <c r="F18" s="17">
        <f>G18/2</f>
        <v>587.5</v>
      </c>
      <c r="G18" s="17">
        <v>1175</v>
      </c>
      <c r="H18" s="17">
        <f>G18+($L$18-$G$18)/5</f>
        <v>2498</v>
      </c>
      <c r="I18" s="17">
        <f>H18+($L$18-$G$18)/5</f>
        <v>3821</v>
      </c>
      <c r="J18" s="17">
        <f>I18+($L$18-$G$18)/5</f>
        <v>5144</v>
      </c>
      <c r="K18" s="17">
        <f>J18+($L$18-$G$18)/5</f>
        <v>6467</v>
      </c>
      <c r="L18" s="17">
        <v>7790</v>
      </c>
      <c r="M18" s="17">
        <v>7790</v>
      </c>
      <c r="N18" s="17">
        <v>7790</v>
      </c>
      <c r="O18" s="17">
        <v>7790</v>
      </c>
      <c r="P18" s="17">
        <f>L18-F18</f>
        <v>7202.5</v>
      </c>
      <c r="Q18" s="17">
        <f>L18-G18</f>
        <v>6615</v>
      </c>
      <c r="R18" s="17">
        <f>L18-H18</f>
        <v>5292</v>
      </c>
      <c r="S18" s="17">
        <f>L18-I18</f>
        <v>3969</v>
      </c>
      <c r="T18" s="17">
        <f>L18-J18</f>
        <v>2646</v>
      </c>
      <c r="U18" s="17">
        <f>L18-K18</f>
        <v>1323</v>
      </c>
    </row>
    <row r="19" spans="1:21" x14ac:dyDescent="0.25">
      <c r="A19" t="s">
        <v>130</v>
      </c>
      <c r="B19" t="s">
        <v>206</v>
      </c>
      <c r="C19" t="s">
        <v>120</v>
      </c>
      <c r="D19" s="18">
        <f>NPV(0.05,F19:U19)</f>
        <v>62762023.127406776</v>
      </c>
      <c r="E19" s="18"/>
      <c r="F19" s="18">
        <f>F18*F22</f>
        <v>558048.625</v>
      </c>
      <c r="G19" s="18">
        <f t="shared" ref="G19:U19" si="6">G18*G22</f>
        <v>1148503.75</v>
      </c>
      <c r="H19" s="18">
        <f t="shared" si="6"/>
        <v>2509640.6799999997</v>
      </c>
      <c r="I19" s="18">
        <f t="shared" si="6"/>
        <v>3980068.2300000004</v>
      </c>
      <c r="J19" s="18">
        <f t="shared" si="6"/>
        <v>5555314.2400000002</v>
      </c>
      <c r="K19" s="18">
        <f t="shared" si="6"/>
        <v>7241099.9000000004</v>
      </c>
      <c r="L19" s="18">
        <f t="shared" si="6"/>
        <v>9043488.9000000004</v>
      </c>
      <c r="M19" s="18">
        <f t="shared" si="6"/>
        <v>9376277.7000000011</v>
      </c>
      <c r="N19" s="18">
        <f t="shared" si="6"/>
        <v>9721296.8000000007</v>
      </c>
      <c r="O19" s="18">
        <f t="shared" si="6"/>
        <v>10079013.6</v>
      </c>
      <c r="P19" s="18">
        <f t="shared" si="6"/>
        <v>9661793.625</v>
      </c>
      <c r="Q19" s="18">
        <f t="shared" si="6"/>
        <v>9200274.2999999989</v>
      </c>
      <c r="R19" s="18">
        <f t="shared" si="6"/>
        <v>7631064</v>
      </c>
      <c r="S19" s="18">
        <f t="shared" si="6"/>
        <v>5933893.1399999997</v>
      </c>
      <c r="T19" s="18">
        <f t="shared" si="6"/>
        <v>4101511.6799999997</v>
      </c>
      <c r="U19" s="18">
        <f t="shared" si="6"/>
        <v>2126219.7599999998</v>
      </c>
    </row>
    <row r="21" spans="1:21" x14ac:dyDescent="0.25">
      <c r="A21" s="2" t="s">
        <v>147</v>
      </c>
      <c r="B21" s="2" t="s">
        <v>6</v>
      </c>
      <c r="C21" s="2"/>
      <c r="D21" s="2"/>
      <c r="E21" s="2"/>
      <c r="F21" s="2"/>
      <c r="G21" s="2"/>
      <c r="H21" s="2"/>
      <c r="I21" s="2"/>
      <c r="J21" s="2"/>
      <c r="K21" s="2"/>
      <c r="L21" s="2"/>
      <c r="M21" s="2"/>
      <c r="N21" s="2"/>
      <c r="O21" s="2"/>
      <c r="P21" s="2"/>
      <c r="Q21" s="2"/>
      <c r="R21" s="2"/>
      <c r="S21" s="2"/>
      <c r="T21" s="2"/>
      <c r="U21" s="2"/>
    </row>
    <row r="22" spans="1:21" x14ac:dyDescent="0.25">
      <c r="A22" s="7" t="s">
        <v>148</v>
      </c>
      <c r="B22" t="s">
        <v>62</v>
      </c>
      <c r="C22" t="s">
        <v>120</v>
      </c>
      <c r="D22" s="19"/>
      <c r="E22" s="17">
        <v>915.36</v>
      </c>
      <c r="F22" s="17">
        <v>949.87</v>
      </c>
      <c r="G22" s="17">
        <v>977.45</v>
      </c>
      <c r="H22" s="17">
        <v>1004.66</v>
      </c>
      <c r="I22" s="17">
        <v>1041.6300000000001</v>
      </c>
      <c r="J22" s="17">
        <v>1079.96</v>
      </c>
      <c r="K22" s="17">
        <v>1119.7</v>
      </c>
      <c r="L22" s="17">
        <v>1160.9100000000001</v>
      </c>
      <c r="M22" s="17">
        <v>1203.6300000000001</v>
      </c>
      <c r="N22" s="17">
        <v>1247.92</v>
      </c>
      <c r="O22" s="17">
        <v>1293.8399999999999</v>
      </c>
      <c r="P22" s="17">
        <v>1341.45</v>
      </c>
      <c r="Q22" s="17">
        <v>1390.82</v>
      </c>
      <c r="R22" s="17">
        <v>1442</v>
      </c>
      <c r="S22" s="17">
        <v>1495.06</v>
      </c>
      <c r="T22" s="17">
        <v>1550.08</v>
      </c>
      <c r="U22" s="17">
        <v>1607.12</v>
      </c>
    </row>
    <row r="24" spans="1:21" x14ac:dyDescent="0.25">
      <c r="A24" s="2" t="s">
        <v>155</v>
      </c>
      <c r="B24" s="36" t="s">
        <v>277</v>
      </c>
      <c r="C24" s="2"/>
      <c r="D24" s="2"/>
      <c r="E24" s="2"/>
      <c r="F24" s="2"/>
      <c r="G24" s="2"/>
      <c r="H24" s="2"/>
      <c r="I24" s="2"/>
      <c r="J24" s="2"/>
      <c r="K24" s="2"/>
      <c r="L24" s="2"/>
      <c r="M24" s="2"/>
      <c r="N24" s="2"/>
      <c r="O24" s="2"/>
      <c r="P24" s="2"/>
      <c r="Q24" s="2"/>
      <c r="R24" s="2"/>
      <c r="S24" s="2"/>
      <c r="T24" s="2"/>
      <c r="U24" s="2"/>
    </row>
    <row r="25" spans="1:21" x14ac:dyDescent="0.25">
      <c r="A25" t="s">
        <v>156</v>
      </c>
      <c r="B25" t="s">
        <v>281</v>
      </c>
    </row>
    <row r="28" spans="1:21" x14ac:dyDescent="0.25">
      <c r="A28" s="7"/>
    </row>
    <row r="29" spans="1:21" x14ac:dyDescent="0.25">
      <c r="A29" s="7"/>
    </row>
    <row r="30" spans="1:21" x14ac:dyDescent="0.25">
      <c r="A30" s="7"/>
    </row>
  </sheetData>
  <mergeCells count="5">
    <mergeCell ref="B2:B3"/>
    <mergeCell ref="D2:D3"/>
    <mergeCell ref="E1:U1"/>
    <mergeCell ref="A1:A3"/>
    <mergeCell ref="C2:C3"/>
  </mergeCells>
  <phoneticPr fontId="6" type="noConversion"/>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A8998-0071-4826-B959-AFDD5CD77ACD}">
  <sheetPr codeName="Sheet17">
    <tabColor theme="9" tint="0.79998168889431442"/>
  </sheetPr>
  <dimension ref="A1:AD34"/>
  <sheetViews>
    <sheetView workbookViewId="0">
      <selection activeCell="A9" sqref="A9:B11"/>
    </sheetView>
  </sheetViews>
  <sheetFormatPr defaultRowHeight="15" x14ac:dyDescent="0.25"/>
  <cols>
    <col min="2" max="2" width="120.5703125" customWidth="1"/>
    <col min="3" max="3" width="11.5703125" customWidth="1"/>
    <col min="4" max="4" width="14.140625" customWidth="1"/>
    <col min="5" max="5" width="10.7109375" customWidth="1"/>
    <col min="10" max="10" width="10.42578125" customWidth="1"/>
    <col min="11" max="11" width="10.85546875" customWidth="1"/>
    <col min="12" max="12" width="10.7109375" customWidth="1"/>
    <col min="13" max="13" width="11.7109375" customWidth="1"/>
    <col min="14" max="15" width="11.28515625" customWidth="1"/>
    <col min="16" max="17" width="11.42578125" customWidth="1"/>
    <col min="18" max="18" width="10.28515625" customWidth="1"/>
    <col min="19" max="26" width="9.85546875" bestFit="1" customWidth="1"/>
  </cols>
  <sheetData>
    <row r="1" spans="1:26" x14ac:dyDescent="0.25">
      <c r="A1" s="42" t="s">
        <v>117</v>
      </c>
      <c r="B1" s="2" t="s">
        <v>110</v>
      </c>
      <c r="C1" s="15" t="s">
        <v>118</v>
      </c>
      <c r="D1" s="2"/>
      <c r="E1" s="52" t="s">
        <v>5</v>
      </c>
      <c r="F1" s="52"/>
      <c r="G1" s="52"/>
      <c r="H1" s="52"/>
      <c r="I1" s="52"/>
      <c r="J1" s="52"/>
      <c r="K1" s="52"/>
      <c r="L1" s="52"/>
      <c r="M1" s="52"/>
      <c r="N1" s="52"/>
      <c r="O1" s="52"/>
      <c r="P1" s="52"/>
      <c r="Q1" s="52"/>
      <c r="R1" s="52"/>
      <c r="S1" s="52"/>
      <c r="T1" s="52"/>
      <c r="U1" s="52"/>
      <c r="V1" s="52"/>
      <c r="W1" s="52"/>
      <c r="X1" s="52"/>
      <c r="Y1" s="52"/>
      <c r="Z1" s="52"/>
    </row>
    <row r="2" spans="1:26" x14ac:dyDescent="0.25">
      <c r="A2" s="42"/>
      <c r="B2" s="52" t="s">
        <v>3</v>
      </c>
      <c r="C2" s="49" t="s">
        <v>119</v>
      </c>
      <c r="D2" s="52" t="s">
        <v>4</v>
      </c>
      <c r="E2" s="2">
        <v>2022</v>
      </c>
      <c r="F2" s="2">
        <v>2023</v>
      </c>
      <c r="G2" s="2">
        <v>2024</v>
      </c>
      <c r="H2" s="2">
        <v>2025</v>
      </c>
      <c r="I2" s="2">
        <v>2026</v>
      </c>
      <c r="J2" s="2">
        <v>2027</v>
      </c>
      <c r="K2" s="2">
        <v>2028</v>
      </c>
      <c r="L2" s="2">
        <v>2029</v>
      </c>
      <c r="M2" s="2">
        <v>2030</v>
      </c>
      <c r="N2" s="2">
        <v>2031</v>
      </c>
      <c r="O2" s="2">
        <v>2032</v>
      </c>
      <c r="P2" s="2">
        <v>2033</v>
      </c>
      <c r="Q2" s="2">
        <v>2034</v>
      </c>
      <c r="R2" s="2">
        <v>2035</v>
      </c>
      <c r="S2" s="2">
        <v>2036</v>
      </c>
      <c r="T2" s="2">
        <v>2037</v>
      </c>
      <c r="U2" s="2">
        <v>2038</v>
      </c>
      <c r="V2" s="2">
        <v>2039</v>
      </c>
      <c r="W2" s="2">
        <v>2040</v>
      </c>
      <c r="X2" s="2">
        <v>2041</v>
      </c>
      <c r="Y2" s="2">
        <v>2042</v>
      </c>
      <c r="Z2" s="2">
        <v>2043</v>
      </c>
    </row>
    <row r="3" spans="1:26" x14ac:dyDescent="0.25">
      <c r="A3" s="42"/>
      <c r="B3" s="52"/>
      <c r="C3" s="49"/>
      <c r="D3" s="52"/>
      <c r="E3" s="2">
        <v>0</v>
      </c>
      <c r="F3" s="2">
        <v>1</v>
      </c>
      <c r="G3" s="2">
        <v>2</v>
      </c>
      <c r="H3" s="2">
        <v>3</v>
      </c>
      <c r="I3" s="2">
        <v>4</v>
      </c>
      <c r="J3" s="2">
        <v>5</v>
      </c>
      <c r="K3" s="2">
        <v>6</v>
      </c>
      <c r="L3" s="2">
        <v>7</v>
      </c>
      <c r="M3" s="2">
        <v>8</v>
      </c>
      <c r="N3" s="2">
        <v>9</v>
      </c>
      <c r="O3" s="2">
        <v>10</v>
      </c>
      <c r="P3" s="2">
        <v>11</v>
      </c>
      <c r="Q3" s="2">
        <v>12</v>
      </c>
      <c r="R3" s="2">
        <v>13</v>
      </c>
      <c r="S3" s="2">
        <v>14</v>
      </c>
      <c r="T3" s="2">
        <v>15</v>
      </c>
      <c r="U3" s="2">
        <v>16</v>
      </c>
      <c r="V3" s="2">
        <v>17</v>
      </c>
      <c r="W3" s="2">
        <v>18</v>
      </c>
      <c r="X3" s="2">
        <v>19</v>
      </c>
      <c r="Y3" s="2">
        <v>20</v>
      </c>
      <c r="Z3" s="2">
        <v>21</v>
      </c>
    </row>
    <row r="4" spans="1:26" x14ac:dyDescent="0.25">
      <c r="A4" t="s">
        <v>230</v>
      </c>
      <c r="B4" t="s">
        <v>321</v>
      </c>
      <c r="C4" t="s">
        <v>120</v>
      </c>
      <c r="D4" s="18">
        <f>E4+NPV(0.05,F4:L4)</f>
        <v>48307697.940290853</v>
      </c>
      <c r="E4" s="18">
        <f>56946702/8</f>
        <v>7118337.75</v>
      </c>
      <c r="F4" s="18">
        <f t="shared" ref="F4:L4" si="0">56946702/8</f>
        <v>7118337.75</v>
      </c>
      <c r="G4" s="18">
        <f t="shared" si="0"/>
        <v>7118337.75</v>
      </c>
      <c r="H4" s="18">
        <f t="shared" si="0"/>
        <v>7118337.75</v>
      </c>
      <c r="I4" s="18">
        <f t="shared" si="0"/>
        <v>7118337.75</v>
      </c>
      <c r="J4" s="18">
        <f t="shared" si="0"/>
        <v>7118337.75</v>
      </c>
      <c r="K4" s="18">
        <f t="shared" si="0"/>
        <v>7118337.75</v>
      </c>
      <c r="L4" s="18">
        <f t="shared" si="0"/>
        <v>7118337.75</v>
      </c>
      <c r="M4" s="22"/>
      <c r="N4" s="22"/>
      <c r="O4" s="22"/>
      <c r="P4" s="22"/>
      <c r="Q4" s="22"/>
      <c r="R4" s="22"/>
      <c r="S4" s="22"/>
      <c r="T4" s="22"/>
      <c r="U4" s="22"/>
      <c r="V4" s="22"/>
      <c r="W4" s="22"/>
      <c r="X4" s="22"/>
      <c r="Y4" s="22"/>
      <c r="Z4" s="22"/>
    </row>
    <row r="5" spans="1:26" x14ac:dyDescent="0.25">
      <c r="A5" t="s">
        <v>204</v>
      </c>
      <c r="B5" t="s">
        <v>320</v>
      </c>
      <c r="C5" t="s">
        <v>120</v>
      </c>
      <c r="D5" s="18">
        <f>E5+NPV(0.05,F5:L5)</f>
        <v>39824731.193543896</v>
      </c>
      <c r="E5" s="18">
        <f>46946702/8</f>
        <v>5868337.75</v>
      </c>
      <c r="F5" s="18">
        <f t="shared" ref="F5:L5" si="1">46946702/8</f>
        <v>5868337.75</v>
      </c>
      <c r="G5" s="18">
        <f t="shared" si="1"/>
        <v>5868337.75</v>
      </c>
      <c r="H5" s="18">
        <f t="shared" si="1"/>
        <v>5868337.75</v>
      </c>
      <c r="I5" s="18">
        <f t="shared" si="1"/>
        <v>5868337.75</v>
      </c>
      <c r="J5" s="18">
        <f t="shared" si="1"/>
        <v>5868337.75</v>
      </c>
      <c r="K5" s="18">
        <f t="shared" si="1"/>
        <v>5868337.75</v>
      </c>
      <c r="L5" s="18">
        <f t="shared" si="1"/>
        <v>5868337.75</v>
      </c>
      <c r="M5" s="22"/>
      <c r="N5" s="22"/>
      <c r="O5" s="22"/>
      <c r="P5" s="22"/>
      <c r="Q5" s="22"/>
      <c r="R5" s="22"/>
      <c r="S5" s="22"/>
      <c r="T5" s="22"/>
      <c r="U5" s="22"/>
      <c r="V5" s="22"/>
      <c r="W5" s="22"/>
      <c r="X5" s="22"/>
      <c r="Y5" s="22"/>
      <c r="Z5" s="22"/>
    </row>
    <row r="6" spans="1:26" x14ac:dyDescent="0.25">
      <c r="A6" t="s">
        <v>116</v>
      </c>
      <c r="B6" t="s">
        <v>315</v>
      </c>
      <c r="C6" t="s">
        <v>120</v>
      </c>
      <c r="D6" s="18">
        <f>SUM(D13:D14)</f>
        <v>246214975.95806956</v>
      </c>
      <c r="E6" s="18">
        <f t="shared" ref="E6:Z6" si="2">SUM(E13:E14)</f>
        <v>0</v>
      </c>
      <c r="F6" s="18">
        <f t="shared" si="2"/>
        <v>0</v>
      </c>
      <c r="G6" s="18">
        <f t="shared" si="2"/>
        <v>0</v>
      </c>
      <c r="H6" s="18">
        <f t="shared" si="2"/>
        <v>0</v>
      </c>
      <c r="I6" s="18">
        <f t="shared" si="2"/>
        <v>5545403.1324999994</v>
      </c>
      <c r="J6" s="18">
        <f t="shared" si="2"/>
        <v>11498937.435000001</v>
      </c>
      <c r="K6" s="18">
        <f t="shared" si="2"/>
        <v>17883133.897500001</v>
      </c>
      <c r="L6" s="18">
        <f t="shared" si="2"/>
        <v>24721624.539999999</v>
      </c>
      <c r="M6" s="18">
        <f t="shared" si="2"/>
        <v>25631359.939999998</v>
      </c>
      <c r="N6" s="18">
        <f t="shared" si="2"/>
        <v>26574566.009999998</v>
      </c>
      <c r="O6" s="18">
        <f t="shared" si="2"/>
        <v>27552485.019999996</v>
      </c>
      <c r="P6" s="18">
        <f t="shared" si="2"/>
        <v>28566388.129999999</v>
      </c>
      <c r="Q6" s="18">
        <f t="shared" si="2"/>
        <v>29617610.699999999</v>
      </c>
      <c r="R6" s="18">
        <f t="shared" si="2"/>
        <v>30707516.98</v>
      </c>
      <c r="S6" s="18">
        <f t="shared" si="2"/>
        <v>31837531.140000001</v>
      </c>
      <c r="T6" s="18">
        <f t="shared" si="2"/>
        <v>33009114.799999997</v>
      </c>
      <c r="U6" s="18">
        <f t="shared" si="2"/>
        <v>34223815.18</v>
      </c>
      <c r="V6" s="18">
        <f t="shared" si="2"/>
        <v>35483230.859999999</v>
      </c>
      <c r="W6" s="18">
        <f t="shared" si="2"/>
        <v>36788981.82</v>
      </c>
      <c r="X6" s="18">
        <f t="shared" si="2"/>
        <v>28607083.440000001</v>
      </c>
      <c r="Y6" s="18">
        <f t="shared" si="2"/>
        <v>19773198.75</v>
      </c>
      <c r="Z6" s="18">
        <f t="shared" si="2"/>
        <v>10250417.564999999</v>
      </c>
    </row>
    <row r="8" spans="1:26" x14ac:dyDescent="0.25">
      <c r="A8" t="s">
        <v>121</v>
      </c>
      <c r="B8" t="s">
        <v>179</v>
      </c>
      <c r="C8" t="s">
        <v>120</v>
      </c>
      <c r="D8" s="20">
        <f>D6-D4</f>
        <v>197907278.01777869</v>
      </c>
    </row>
    <row r="9" spans="1:26" x14ac:dyDescent="0.25">
      <c r="A9" t="s">
        <v>244</v>
      </c>
      <c r="B9" t="s">
        <v>247</v>
      </c>
      <c r="C9" t="s">
        <v>126</v>
      </c>
      <c r="D9" s="21">
        <f>D6/(D4*1.1)</f>
        <v>4.633460211707412</v>
      </c>
      <c r="E9" t="s">
        <v>338</v>
      </c>
    </row>
    <row r="10" spans="1:26" x14ac:dyDescent="0.25">
      <c r="A10" t="s">
        <v>245</v>
      </c>
      <c r="B10" t="s">
        <v>248</v>
      </c>
      <c r="C10" t="s">
        <v>126</v>
      </c>
      <c r="D10" s="21">
        <f>D6/D4</f>
        <v>5.0968062328781532</v>
      </c>
    </row>
    <row r="11" spans="1:26" x14ac:dyDescent="0.25">
      <c r="A11" t="s">
        <v>246</v>
      </c>
      <c r="B11" t="s">
        <v>249</v>
      </c>
      <c r="C11" t="s">
        <v>126</v>
      </c>
      <c r="D11" s="21">
        <f>D6/D5</f>
        <v>6.1824642271027859</v>
      </c>
    </row>
    <row r="13" spans="1:26" x14ac:dyDescent="0.25">
      <c r="A13" t="s">
        <v>122</v>
      </c>
      <c r="B13" t="s">
        <v>124</v>
      </c>
      <c r="C13" t="s">
        <v>120</v>
      </c>
      <c r="D13" s="18">
        <f>SUM(E13:U13)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row>
    <row r="14" spans="1:26" x14ac:dyDescent="0.25">
      <c r="A14" t="s">
        <v>123</v>
      </c>
      <c r="B14" t="s">
        <v>125</v>
      </c>
      <c r="C14" t="s">
        <v>120</v>
      </c>
      <c r="D14" s="18">
        <f>D16</f>
        <v>246214975.95806956</v>
      </c>
      <c r="E14" s="18">
        <f t="shared" ref="E14:Z14" si="3">E16</f>
        <v>0</v>
      </c>
      <c r="F14" s="18">
        <f t="shared" si="3"/>
        <v>0</v>
      </c>
      <c r="G14" s="18">
        <f t="shared" si="3"/>
        <v>0</v>
      </c>
      <c r="H14" s="18">
        <f t="shared" si="3"/>
        <v>0</v>
      </c>
      <c r="I14" s="18">
        <f t="shared" si="3"/>
        <v>5545403.1324999994</v>
      </c>
      <c r="J14" s="18">
        <f t="shared" si="3"/>
        <v>11498937.435000001</v>
      </c>
      <c r="K14" s="18">
        <f t="shared" si="3"/>
        <v>17883133.897500001</v>
      </c>
      <c r="L14" s="18">
        <f t="shared" si="3"/>
        <v>24721624.539999999</v>
      </c>
      <c r="M14" s="18">
        <f t="shared" si="3"/>
        <v>25631359.939999998</v>
      </c>
      <c r="N14" s="18">
        <f t="shared" si="3"/>
        <v>26574566.009999998</v>
      </c>
      <c r="O14" s="18">
        <f t="shared" si="3"/>
        <v>27552485.019999996</v>
      </c>
      <c r="P14" s="18">
        <f t="shared" si="3"/>
        <v>28566388.129999999</v>
      </c>
      <c r="Q14" s="18">
        <f t="shared" si="3"/>
        <v>29617610.699999999</v>
      </c>
      <c r="R14" s="18">
        <f t="shared" si="3"/>
        <v>30707516.98</v>
      </c>
      <c r="S14" s="18">
        <f t="shared" si="3"/>
        <v>31837531.140000001</v>
      </c>
      <c r="T14" s="18">
        <f t="shared" si="3"/>
        <v>33009114.799999997</v>
      </c>
      <c r="U14" s="18">
        <f t="shared" si="3"/>
        <v>34223815.18</v>
      </c>
      <c r="V14" s="18">
        <f t="shared" si="3"/>
        <v>35483230.859999999</v>
      </c>
      <c r="W14" s="18">
        <f t="shared" si="3"/>
        <v>36788981.82</v>
      </c>
      <c r="X14" s="18">
        <f t="shared" si="3"/>
        <v>28607083.440000001</v>
      </c>
      <c r="Y14" s="18">
        <f t="shared" si="3"/>
        <v>19773198.75</v>
      </c>
      <c r="Z14" s="18">
        <f t="shared" si="3"/>
        <v>10250417.564999999</v>
      </c>
    </row>
    <row r="16" spans="1:26" x14ac:dyDescent="0.25">
      <c r="A16" s="2" t="s">
        <v>127</v>
      </c>
      <c r="B16" s="2" t="s">
        <v>242</v>
      </c>
      <c r="C16" s="2"/>
      <c r="D16" s="23">
        <f>D18</f>
        <v>246214975.95806956</v>
      </c>
      <c r="E16" s="23">
        <f t="shared" ref="E16:Z16" si="4">E18</f>
        <v>0</v>
      </c>
      <c r="F16" s="23">
        <f t="shared" si="4"/>
        <v>0</v>
      </c>
      <c r="G16" s="23">
        <f t="shared" si="4"/>
        <v>0</v>
      </c>
      <c r="H16" s="23">
        <f t="shared" si="4"/>
        <v>0</v>
      </c>
      <c r="I16" s="23">
        <f t="shared" si="4"/>
        <v>5545403.1324999994</v>
      </c>
      <c r="J16" s="23">
        <f t="shared" si="4"/>
        <v>11498937.435000001</v>
      </c>
      <c r="K16" s="23">
        <f t="shared" si="4"/>
        <v>17883133.897500001</v>
      </c>
      <c r="L16" s="23">
        <f t="shared" si="4"/>
        <v>24721624.539999999</v>
      </c>
      <c r="M16" s="23">
        <f t="shared" si="4"/>
        <v>25631359.939999998</v>
      </c>
      <c r="N16" s="23">
        <f t="shared" si="4"/>
        <v>26574566.009999998</v>
      </c>
      <c r="O16" s="23">
        <f t="shared" si="4"/>
        <v>27552485.019999996</v>
      </c>
      <c r="P16" s="23">
        <f t="shared" si="4"/>
        <v>28566388.129999999</v>
      </c>
      <c r="Q16" s="23">
        <f t="shared" si="4"/>
        <v>29617610.699999999</v>
      </c>
      <c r="R16" s="23">
        <f t="shared" si="4"/>
        <v>30707516.98</v>
      </c>
      <c r="S16" s="23">
        <f t="shared" si="4"/>
        <v>31837531.140000001</v>
      </c>
      <c r="T16" s="23">
        <f t="shared" si="4"/>
        <v>33009114.799999997</v>
      </c>
      <c r="U16" s="23">
        <f t="shared" si="4"/>
        <v>34223815.18</v>
      </c>
      <c r="V16" s="23">
        <f t="shared" si="4"/>
        <v>35483230.859999999</v>
      </c>
      <c r="W16" s="23">
        <f t="shared" si="4"/>
        <v>36788981.82</v>
      </c>
      <c r="X16" s="23">
        <f t="shared" si="4"/>
        <v>28607083.440000001</v>
      </c>
      <c r="Y16" s="23">
        <f t="shared" si="4"/>
        <v>19773198.75</v>
      </c>
      <c r="Z16" s="23">
        <f t="shared" si="4"/>
        <v>10250417.564999999</v>
      </c>
    </row>
    <row r="17" spans="1:30" x14ac:dyDescent="0.25">
      <c r="A17" t="s">
        <v>129</v>
      </c>
      <c r="B17" t="s">
        <v>237</v>
      </c>
      <c r="C17" t="s">
        <v>144</v>
      </c>
      <c r="D17" s="34">
        <v>2140</v>
      </c>
      <c r="E17" s="34"/>
      <c r="F17" s="34"/>
      <c r="G17" s="34"/>
      <c r="H17" s="34"/>
      <c r="I17" s="34">
        <f>D17/4</f>
        <v>535</v>
      </c>
      <c r="J17" s="34">
        <f>I17*2</f>
        <v>1070</v>
      </c>
      <c r="K17" s="34">
        <f>I17*3</f>
        <v>1605</v>
      </c>
      <c r="L17" s="34">
        <f>I17*4</f>
        <v>2140</v>
      </c>
      <c r="M17" s="34">
        <f>L17</f>
        <v>2140</v>
      </c>
      <c r="N17" s="34">
        <f t="shared" ref="N17:S17" si="5">M17</f>
        <v>2140</v>
      </c>
      <c r="O17" s="34">
        <f t="shared" si="5"/>
        <v>2140</v>
      </c>
      <c r="P17" s="34">
        <f t="shared" si="5"/>
        <v>2140</v>
      </c>
      <c r="Q17" s="34">
        <f t="shared" si="5"/>
        <v>2140</v>
      </c>
      <c r="R17" s="34">
        <f t="shared" si="5"/>
        <v>2140</v>
      </c>
      <c r="S17" s="34">
        <f t="shared" si="5"/>
        <v>2140</v>
      </c>
      <c r="T17" s="34">
        <f t="shared" ref="T17" si="6">S17</f>
        <v>2140</v>
      </c>
      <c r="U17" s="34">
        <f t="shared" ref="U17" si="7">T17</f>
        <v>2140</v>
      </c>
      <c r="V17" s="34">
        <f t="shared" ref="V17" si="8">U17</f>
        <v>2140</v>
      </c>
      <c r="W17" s="34">
        <f t="shared" ref="W17" si="9">V17</f>
        <v>2140</v>
      </c>
      <c r="X17" s="34">
        <f>W17-I17</f>
        <v>1605</v>
      </c>
      <c r="Y17" s="34">
        <f>W17-J17</f>
        <v>1070</v>
      </c>
      <c r="Z17" s="34">
        <f>W17-K17</f>
        <v>535</v>
      </c>
      <c r="AA17" s="6"/>
      <c r="AB17" s="6"/>
      <c r="AC17" s="6"/>
      <c r="AD17" s="7"/>
    </row>
    <row r="18" spans="1:30" x14ac:dyDescent="0.25">
      <c r="A18" t="s">
        <v>130</v>
      </c>
      <c r="B18" t="s">
        <v>232</v>
      </c>
      <c r="C18" t="s">
        <v>120</v>
      </c>
      <c r="D18" s="18">
        <f>NPV(0.05,F18:Z18)</f>
        <v>246214975.95806956</v>
      </c>
      <c r="E18" s="18"/>
      <c r="F18" s="18">
        <v>0</v>
      </c>
      <c r="G18" s="18">
        <v>0</v>
      </c>
      <c r="H18" s="18">
        <v>0</v>
      </c>
      <c r="I18" s="18">
        <f>I17*$D$26*I23+I17*$D$27*I22+$D$28*I21*I17</f>
        <v>5545403.1324999994</v>
      </c>
      <c r="J18" s="18">
        <f t="shared" ref="J18:Z18" si="10">J17*$D$26*J23+J17*$D$27*J22+$D$28*J21*J17</f>
        <v>11498937.435000001</v>
      </c>
      <c r="K18" s="18">
        <f t="shared" si="10"/>
        <v>17883133.897500001</v>
      </c>
      <c r="L18" s="18">
        <f t="shared" si="10"/>
        <v>24721624.539999999</v>
      </c>
      <c r="M18" s="18">
        <f t="shared" si="10"/>
        <v>25631359.939999998</v>
      </c>
      <c r="N18" s="18">
        <f t="shared" si="10"/>
        <v>26574566.009999998</v>
      </c>
      <c r="O18" s="18">
        <f t="shared" si="10"/>
        <v>27552485.019999996</v>
      </c>
      <c r="P18" s="18">
        <f t="shared" si="10"/>
        <v>28566388.129999999</v>
      </c>
      <c r="Q18" s="18">
        <f t="shared" si="10"/>
        <v>29617610.699999999</v>
      </c>
      <c r="R18" s="18">
        <f t="shared" si="10"/>
        <v>30707516.98</v>
      </c>
      <c r="S18" s="18">
        <f t="shared" si="10"/>
        <v>31837531.140000001</v>
      </c>
      <c r="T18" s="18">
        <f t="shared" si="10"/>
        <v>33009114.799999997</v>
      </c>
      <c r="U18" s="18">
        <f t="shared" si="10"/>
        <v>34223815.18</v>
      </c>
      <c r="V18" s="18">
        <f t="shared" si="10"/>
        <v>35483230.859999999</v>
      </c>
      <c r="W18" s="18">
        <f t="shared" si="10"/>
        <v>36788981.82</v>
      </c>
      <c r="X18" s="18">
        <f t="shared" si="10"/>
        <v>28607083.440000001</v>
      </c>
      <c r="Y18" s="18">
        <f t="shared" si="10"/>
        <v>19773198.75</v>
      </c>
      <c r="Z18" s="18">
        <f t="shared" si="10"/>
        <v>10250417.564999999</v>
      </c>
      <c r="AA18" s="6"/>
      <c r="AB18" s="6"/>
      <c r="AC18" s="6"/>
      <c r="AD18" s="7"/>
    </row>
    <row r="19" spans="1:30" x14ac:dyDescent="0.25">
      <c r="AA19" s="6"/>
      <c r="AB19" s="6"/>
      <c r="AC19" s="6"/>
      <c r="AD19" s="7"/>
    </row>
    <row r="20" spans="1:30" x14ac:dyDescent="0.25">
      <c r="A20" s="2" t="s">
        <v>147</v>
      </c>
      <c r="B20" s="2" t="s">
        <v>6</v>
      </c>
      <c r="C20" s="2"/>
      <c r="D20" s="2"/>
      <c r="E20" s="2"/>
      <c r="F20" s="2"/>
      <c r="G20" s="2"/>
      <c r="H20" s="2"/>
      <c r="I20" s="2"/>
      <c r="J20" s="2"/>
      <c r="K20" s="2"/>
      <c r="L20" s="2"/>
      <c r="M20" s="2"/>
      <c r="N20" s="2"/>
      <c r="O20" s="2"/>
      <c r="P20" s="2"/>
      <c r="Q20" s="2"/>
      <c r="R20" s="2"/>
      <c r="S20" s="2"/>
      <c r="T20" s="2"/>
      <c r="U20" s="2"/>
      <c r="V20" s="2"/>
      <c r="W20" s="2"/>
      <c r="X20" s="2"/>
      <c r="Y20" s="2"/>
      <c r="Z20" s="2"/>
      <c r="AA20" s="6"/>
      <c r="AB20" s="6"/>
      <c r="AC20" s="6"/>
      <c r="AD20" s="7"/>
    </row>
    <row r="21" spans="1:30" x14ac:dyDescent="0.25">
      <c r="A21" s="7" t="s">
        <v>148</v>
      </c>
      <c r="B21" t="s">
        <v>15</v>
      </c>
      <c r="C21" t="s">
        <v>120</v>
      </c>
      <c r="D21" s="19"/>
      <c r="E21" s="17"/>
      <c r="F21" s="17"/>
      <c r="G21" s="17"/>
      <c r="H21" s="17"/>
      <c r="I21" s="34">
        <v>3825.95</v>
      </c>
      <c r="J21" s="34">
        <v>3966.74</v>
      </c>
      <c r="K21" s="34">
        <v>4112.71</v>
      </c>
      <c r="L21" s="34">
        <v>4264.0600000000004</v>
      </c>
      <c r="M21" s="34">
        <v>4420.97</v>
      </c>
      <c r="N21" s="34">
        <v>4583.66</v>
      </c>
      <c r="O21" s="34">
        <v>4752.33</v>
      </c>
      <c r="P21" s="34">
        <v>4927.21</v>
      </c>
      <c r="Q21" s="34">
        <v>5108.53</v>
      </c>
      <c r="R21" s="34">
        <v>5296.52</v>
      </c>
      <c r="S21" s="34">
        <v>5491.43</v>
      </c>
      <c r="T21" s="34">
        <v>5693.51</v>
      </c>
      <c r="U21" s="34">
        <v>5903.02</v>
      </c>
      <c r="V21" s="34">
        <v>6120.25</v>
      </c>
      <c r="W21" s="34">
        <v>6345.47</v>
      </c>
      <c r="X21" s="34">
        <v>6578.97</v>
      </c>
      <c r="Y21" s="34">
        <v>6821.07</v>
      </c>
      <c r="Z21" s="34">
        <v>7072.08</v>
      </c>
    </row>
    <row r="22" spans="1:30" x14ac:dyDescent="0.25">
      <c r="A22" s="7" t="s">
        <v>149</v>
      </c>
      <c r="B22" t="s">
        <v>16</v>
      </c>
      <c r="C22" t="s">
        <v>120</v>
      </c>
      <c r="D22" s="19"/>
      <c r="E22" s="19"/>
      <c r="F22" s="19"/>
      <c r="G22" s="19"/>
      <c r="H22" s="19"/>
      <c r="I22" s="34">
        <v>8405.9599999999991</v>
      </c>
      <c r="J22" s="34">
        <v>8715.2900000000009</v>
      </c>
      <c r="K22" s="34">
        <v>9036</v>
      </c>
      <c r="L22" s="34">
        <v>9368.52</v>
      </c>
      <c r="M22" s="34">
        <v>9713.27</v>
      </c>
      <c r="N22" s="34">
        <v>10070.709999999999</v>
      </c>
      <c r="O22" s="34">
        <v>10441.31</v>
      </c>
      <c r="P22" s="34">
        <v>10825.54</v>
      </c>
      <c r="Q22" s="34">
        <v>11223.91</v>
      </c>
      <c r="R22" s="34">
        <v>11636.94</v>
      </c>
      <c r="S22" s="34">
        <v>12065.17</v>
      </c>
      <c r="T22" s="34">
        <v>12509.15</v>
      </c>
      <c r="U22" s="34">
        <v>12969.48</v>
      </c>
      <c r="V22" s="34">
        <v>13446.75</v>
      </c>
      <c r="W22" s="34">
        <v>13941.57</v>
      </c>
      <c r="X22" s="34">
        <v>14454.61</v>
      </c>
      <c r="Y22" s="34">
        <v>14986.53</v>
      </c>
      <c r="Z22" s="34">
        <v>15538.02</v>
      </c>
    </row>
    <row r="23" spans="1:30" x14ac:dyDescent="0.25">
      <c r="A23" s="7" t="s">
        <v>150</v>
      </c>
      <c r="B23" t="s">
        <v>17</v>
      </c>
      <c r="C23" t="s">
        <v>120</v>
      </c>
      <c r="D23" s="19"/>
      <c r="E23" s="19"/>
      <c r="F23" s="19"/>
      <c r="G23" s="19"/>
      <c r="H23" s="19"/>
      <c r="I23" s="34">
        <v>18456.669999999998</v>
      </c>
      <c r="J23" s="34">
        <v>19135.86</v>
      </c>
      <c r="K23" s="34">
        <v>19840.05</v>
      </c>
      <c r="L23" s="34">
        <v>20570.14</v>
      </c>
      <c r="M23" s="34">
        <v>21327.11</v>
      </c>
      <c r="N23" s="34">
        <v>22111.919999999998</v>
      </c>
      <c r="O23" s="34">
        <v>22925.62</v>
      </c>
      <c r="P23" s="34">
        <v>23769.26</v>
      </c>
      <c r="Q23" s="34">
        <v>24643.95</v>
      </c>
      <c r="R23" s="34">
        <v>25550.83</v>
      </c>
      <c r="S23" s="34">
        <v>26491.08</v>
      </c>
      <c r="T23" s="34">
        <v>27465.919999999998</v>
      </c>
      <c r="U23" s="34">
        <v>28476.639999999999</v>
      </c>
      <c r="V23" s="34">
        <v>29524.560000000001</v>
      </c>
      <c r="W23" s="34">
        <v>30611.040000000001</v>
      </c>
      <c r="X23" s="34">
        <v>31737.5</v>
      </c>
      <c r="Y23" s="34">
        <v>32905.410000000003</v>
      </c>
      <c r="Z23" s="34">
        <v>34116.300000000003</v>
      </c>
    </row>
    <row r="24" spans="1:30" x14ac:dyDescent="0.25">
      <c r="A24" s="7"/>
    </row>
    <row r="25" spans="1:30" x14ac:dyDescent="0.25">
      <c r="A25" s="2" t="s">
        <v>155</v>
      </c>
      <c r="B25" s="2" t="s">
        <v>18</v>
      </c>
      <c r="C25" s="2"/>
      <c r="D25" s="2"/>
      <c r="E25" s="2"/>
      <c r="F25" s="2"/>
      <c r="G25" s="2"/>
      <c r="H25" s="2"/>
      <c r="I25" s="2"/>
      <c r="J25" s="2"/>
      <c r="K25" s="2"/>
      <c r="L25" s="2"/>
      <c r="M25" s="2"/>
      <c r="N25" s="2"/>
      <c r="O25" s="2"/>
      <c r="P25" s="2"/>
      <c r="Q25" s="2"/>
      <c r="R25" s="2"/>
      <c r="S25" s="2"/>
      <c r="T25" s="2"/>
      <c r="U25" s="2"/>
      <c r="V25" s="2"/>
      <c r="W25" s="2"/>
      <c r="X25" s="2"/>
      <c r="Y25" s="2"/>
      <c r="Z25" s="2"/>
    </row>
    <row r="26" spans="1:30" x14ac:dyDescent="0.25">
      <c r="A26" t="s">
        <v>156</v>
      </c>
      <c r="B26" t="s">
        <v>19</v>
      </c>
      <c r="C26" t="s">
        <v>231</v>
      </c>
      <c r="D26" s="32">
        <v>0.4</v>
      </c>
    </row>
    <row r="27" spans="1:30" x14ac:dyDescent="0.25">
      <c r="A27" t="s">
        <v>157</v>
      </c>
      <c r="B27" t="s">
        <v>20</v>
      </c>
      <c r="C27" t="s">
        <v>231</v>
      </c>
      <c r="D27" s="32">
        <v>0.15</v>
      </c>
    </row>
    <row r="28" spans="1:30" x14ac:dyDescent="0.25">
      <c r="A28" t="s">
        <v>222</v>
      </c>
      <c r="B28" t="s">
        <v>21</v>
      </c>
      <c r="C28" t="s">
        <v>231</v>
      </c>
      <c r="D28" s="32">
        <v>0.45</v>
      </c>
    </row>
    <row r="30" spans="1:30" x14ac:dyDescent="0.25">
      <c r="A30" s="2" t="s">
        <v>160</v>
      </c>
      <c r="B30" s="2" t="s">
        <v>277</v>
      </c>
      <c r="C30" s="2"/>
      <c r="D30" s="2"/>
      <c r="E30" s="2"/>
      <c r="F30" s="2"/>
      <c r="G30" s="2"/>
      <c r="H30" s="2"/>
      <c r="I30" s="2"/>
      <c r="J30" s="2"/>
      <c r="K30" s="2"/>
      <c r="L30" s="2"/>
      <c r="M30" s="2"/>
      <c r="N30" s="2"/>
      <c r="O30" s="2"/>
      <c r="P30" s="2"/>
      <c r="Q30" s="2"/>
      <c r="R30" s="2"/>
      <c r="S30" s="2"/>
      <c r="T30" s="2"/>
      <c r="U30" s="2"/>
      <c r="V30" s="2"/>
      <c r="W30" s="2"/>
      <c r="X30" s="2"/>
      <c r="Y30" s="2"/>
      <c r="Z30" s="2"/>
    </row>
    <row r="31" spans="1:30" s="7" customFormat="1" x14ac:dyDescent="0.25">
      <c r="A31" s="7" t="s">
        <v>158</v>
      </c>
      <c r="B31" s="7" t="s">
        <v>276</v>
      </c>
    </row>
    <row r="32" spans="1:30" s="7" customFormat="1" x14ac:dyDescent="0.25"/>
    <row r="33" s="7" customFormat="1" x14ac:dyDescent="0.25"/>
    <row r="34" s="7" customFormat="1" x14ac:dyDescent="0.25"/>
  </sheetData>
  <mergeCells count="5">
    <mergeCell ref="B2:B3"/>
    <mergeCell ref="D2:D3"/>
    <mergeCell ref="E1:Z1"/>
    <mergeCell ref="A1:A3"/>
    <mergeCell ref="C2:C3"/>
  </mergeCells>
  <phoneticPr fontId="6"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6D33-E992-4B0E-A69B-FBD6DDCBB607}">
  <sheetPr codeName="Sheet18">
    <tabColor theme="9" tint="0.79998168889431442"/>
  </sheetPr>
  <dimension ref="A1:U33"/>
  <sheetViews>
    <sheetView workbookViewId="0">
      <selection activeCell="D13" sqref="D13"/>
    </sheetView>
  </sheetViews>
  <sheetFormatPr defaultRowHeight="15" x14ac:dyDescent="0.25"/>
  <cols>
    <col min="2" max="2" width="80.42578125" customWidth="1"/>
    <col min="3" max="3" width="11.5703125" customWidth="1"/>
    <col min="4" max="4" width="11.7109375" customWidth="1"/>
    <col min="5" max="5" width="10.7109375" customWidth="1"/>
    <col min="9" max="21" width="9.85546875" bestFit="1" customWidth="1"/>
  </cols>
  <sheetData>
    <row r="1" spans="1:21" x14ac:dyDescent="0.25">
      <c r="A1" s="42" t="s">
        <v>117</v>
      </c>
      <c r="B1" s="2" t="s">
        <v>111</v>
      </c>
      <c r="C1" s="15" t="s">
        <v>118</v>
      </c>
      <c r="D1" s="2"/>
      <c r="E1" s="52" t="s">
        <v>5</v>
      </c>
      <c r="F1" s="52"/>
      <c r="G1" s="52"/>
      <c r="H1" s="52"/>
      <c r="I1" s="52"/>
      <c r="J1" s="52"/>
      <c r="K1" s="52"/>
      <c r="L1" s="52"/>
      <c r="M1" s="52"/>
      <c r="N1" s="52"/>
      <c r="O1" s="52"/>
      <c r="P1" s="52"/>
      <c r="Q1" s="52"/>
      <c r="R1" s="52"/>
      <c r="S1" s="52"/>
      <c r="T1" s="52"/>
      <c r="U1" s="52"/>
    </row>
    <row r="2" spans="1:21" x14ac:dyDescent="0.25">
      <c r="A2" s="42"/>
      <c r="B2" s="52" t="s">
        <v>3</v>
      </c>
      <c r="C2" s="49" t="s">
        <v>119</v>
      </c>
      <c r="D2" s="52" t="s">
        <v>4</v>
      </c>
      <c r="E2" s="2">
        <v>2022</v>
      </c>
      <c r="F2" s="2">
        <v>2023</v>
      </c>
      <c r="G2" s="2">
        <v>2024</v>
      </c>
      <c r="H2" s="2">
        <v>2025</v>
      </c>
      <c r="I2" s="2">
        <v>2026</v>
      </c>
      <c r="J2" s="2">
        <v>2027</v>
      </c>
      <c r="K2" s="2">
        <v>2028</v>
      </c>
      <c r="L2" s="2">
        <v>2029</v>
      </c>
      <c r="M2" s="2">
        <v>2030</v>
      </c>
      <c r="N2" s="2">
        <v>2031</v>
      </c>
      <c r="O2" s="2">
        <v>2032</v>
      </c>
      <c r="P2" s="2">
        <v>2033</v>
      </c>
      <c r="Q2" s="2">
        <v>2034</v>
      </c>
      <c r="R2" s="2">
        <v>2035</v>
      </c>
      <c r="S2" s="2">
        <v>2036</v>
      </c>
      <c r="T2" s="2">
        <v>2037</v>
      </c>
      <c r="U2" s="2">
        <v>2038</v>
      </c>
    </row>
    <row r="3" spans="1:21" x14ac:dyDescent="0.25">
      <c r="A3" s="42"/>
      <c r="B3" s="52"/>
      <c r="C3" s="49"/>
      <c r="D3" s="52"/>
      <c r="E3" s="2">
        <v>0</v>
      </c>
      <c r="F3" s="2">
        <v>1</v>
      </c>
      <c r="G3" s="2">
        <v>2</v>
      </c>
      <c r="H3" s="2">
        <v>3</v>
      </c>
      <c r="I3" s="2">
        <v>4</v>
      </c>
      <c r="J3" s="2">
        <v>5</v>
      </c>
      <c r="K3" s="2">
        <v>6</v>
      </c>
      <c r="L3" s="2">
        <v>7</v>
      </c>
      <c r="M3" s="2">
        <v>8</v>
      </c>
      <c r="N3" s="2">
        <v>9</v>
      </c>
      <c r="O3" s="2">
        <v>10</v>
      </c>
      <c r="P3" s="2">
        <v>11</v>
      </c>
      <c r="Q3" s="2">
        <v>12</v>
      </c>
      <c r="R3" s="2">
        <v>13</v>
      </c>
      <c r="S3" s="2">
        <v>14</v>
      </c>
      <c r="T3" s="2">
        <v>15</v>
      </c>
      <c r="U3" s="2">
        <v>16</v>
      </c>
    </row>
    <row r="4" spans="1:21" x14ac:dyDescent="0.25">
      <c r="A4" t="s">
        <v>115</v>
      </c>
      <c r="B4" t="s">
        <v>319</v>
      </c>
      <c r="C4" t="s">
        <v>120</v>
      </c>
      <c r="D4" s="18">
        <f>E4+NPV(0.05,F4:L4)</f>
        <v>67737720.351249427</v>
      </c>
      <c r="E4" s="18">
        <f>79851451/8</f>
        <v>9981431.375</v>
      </c>
      <c r="F4" s="18">
        <f t="shared" ref="F4:L4" si="0">79851451/8</f>
        <v>9981431.375</v>
      </c>
      <c r="G4" s="18">
        <f t="shared" si="0"/>
        <v>9981431.375</v>
      </c>
      <c r="H4" s="18">
        <f t="shared" si="0"/>
        <v>9981431.375</v>
      </c>
      <c r="I4" s="18">
        <f t="shared" si="0"/>
        <v>9981431.375</v>
      </c>
      <c r="J4" s="18">
        <f t="shared" si="0"/>
        <v>9981431.375</v>
      </c>
      <c r="K4" s="18">
        <f t="shared" si="0"/>
        <v>9981431.375</v>
      </c>
      <c r="L4" s="18">
        <f t="shared" si="0"/>
        <v>9981431.375</v>
      </c>
      <c r="M4" s="22"/>
      <c r="N4" s="22"/>
      <c r="O4" s="22"/>
      <c r="P4" s="22"/>
      <c r="Q4" s="22"/>
      <c r="R4" s="22"/>
      <c r="S4" s="22"/>
      <c r="T4" s="22"/>
      <c r="U4" s="22"/>
    </row>
    <row r="5" spans="1:21" x14ac:dyDescent="0.25">
      <c r="A5" t="s">
        <v>161</v>
      </c>
      <c r="B5" t="s">
        <v>310</v>
      </c>
      <c r="C5" t="s">
        <v>120</v>
      </c>
      <c r="D5" s="18">
        <f>SUM(F5:U5)</f>
        <v>638278113.29459786</v>
      </c>
      <c r="E5" s="18"/>
      <c r="F5" s="18">
        <v>0</v>
      </c>
      <c r="G5" s="18">
        <v>0</v>
      </c>
      <c r="H5" s="18">
        <v>0</v>
      </c>
      <c r="I5" s="18">
        <f t="shared" ref="I5:U5" si="1">$U$29*(I18*$U$30*I25+I18*$U$31*I26)+I20*I24</f>
        <v>10828542.74244</v>
      </c>
      <c r="J5" s="18">
        <f t="shared" si="1"/>
        <v>22449118.464146402</v>
      </c>
      <c r="K5" s="18">
        <f t="shared" si="1"/>
        <v>34905137.616226189</v>
      </c>
      <c r="L5" s="18">
        <f t="shared" si="1"/>
        <v>48242359.409590624</v>
      </c>
      <c r="M5" s="18">
        <f t="shared" si="1"/>
        <v>50006757.513478354</v>
      </c>
      <c r="N5" s="18">
        <f t="shared" si="1"/>
        <v>51835776.574242696</v>
      </c>
      <c r="O5" s="18">
        <f t="shared" si="1"/>
        <v>53731840.427629985</v>
      </c>
      <c r="P5" s="18">
        <f t="shared" si="1"/>
        <v>55697255.160458893</v>
      </c>
      <c r="Q5" s="18">
        <f t="shared" si="1"/>
        <v>57734685.309352651</v>
      </c>
      <c r="R5" s="18">
        <f t="shared" si="1"/>
        <v>59846653.932633229</v>
      </c>
      <c r="S5" s="18">
        <f t="shared" si="1"/>
        <v>62036042.619412228</v>
      </c>
      <c r="T5" s="18">
        <f t="shared" si="1"/>
        <v>64305662.987914592</v>
      </c>
      <c r="U5" s="18">
        <f t="shared" si="1"/>
        <v>66658280.53707204</v>
      </c>
    </row>
    <row r="6" spans="1:21" x14ac:dyDescent="0.25">
      <c r="A6" t="s">
        <v>162</v>
      </c>
      <c r="B6" t="s">
        <v>311</v>
      </c>
      <c r="C6" t="s">
        <v>120</v>
      </c>
      <c r="D6" s="18">
        <f t="shared" ref="D6:D7" si="2">SUM(F6:U6)</f>
        <v>510622490.63567841</v>
      </c>
      <c r="E6" s="18"/>
      <c r="F6" s="18">
        <f>F5*0.8</f>
        <v>0</v>
      </c>
      <c r="G6" s="18">
        <f t="shared" ref="G6:U6" si="3">G5*0.8</f>
        <v>0</v>
      </c>
      <c r="H6" s="18">
        <f t="shared" si="3"/>
        <v>0</v>
      </c>
      <c r="I6" s="18">
        <f t="shared" si="3"/>
        <v>8662834.1939519998</v>
      </c>
      <c r="J6" s="18">
        <f t="shared" si="3"/>
        <v>17959294.771317121</v>
      </c>
      <c r="K6" s="18">
        <f t="shared" si="3"/>
        <v>27924110.092980951</v>
      </c>
      <c r="L6" s="18">
        <f t="shared" si="3"/>
        <v>38593887.527672499</v>
      </c>
      <c r="M6" s="18">
        <f t="shared" si="3"/>
        <v>40005406.010782681</v>
      </c>
      <c r="N6" s="18">
        <f t="shared" si="3"/>
        <v>41468621.259394161</v>
      </c>
      <c r="O6" s="18">
        <f t="shared" si="3"/>
        <v>42985472.342103988</v>
      </c>
      <c r="P6" s="18">
        <f t="shared" si="3"/>
        <v>44557804.128367119</v>
      </c>
      <c r="Q6" s="18">
        <f t="shared" si="3"/>
        <v>46187748.247482121</v>
      </c>
      <c r="R6" s="18">
        <f t="shared" si="3"/>
        <v>47877323.146106586</v>
      </c>
      <c r="S6" s="18">
        <f t="shared" si="3"/>
        <v>49628834.095529787</v>
      </c>
      <c r="T6" s="18">
        <f t="shared" si="3"/>
        <v>51444530.390331678</v>
      </c>
      <c r="U6" s="18">
        <f t="shared" si="3"/>
        <v>53326624.429657638</v>
      </c>
    </row>
    <row r="7" spans="1:21" x14ac:dyDescent="0.25">
      <c r="A7" t="s">
        <v>164</v>
      </c>
      <c r="B7" t="s">
        <v>312</v>
      </c>
      <c r="C7" t="s">
        <v>120</v>
      </c>
      <c r="D7" s="18">
        <f t="shared" si="2"/>
        <v>632113425.29021871</v>
      </c>
      <c r="E7" s="18"/>
      <c r="F7" s="18">
        <v>0</v>
      </c>
      <c r="G7" s="18">
        <v>0</v>
      </c>
      <c r="H7" s="18">
        <v>0</v>
      </c>
      <c r="I7" s="18">
        <f t="shared" ref="I7:U7" si="4">$U$29*(I18*$U$30*I25+I18*$U$31*I26)+I20*I24*0.7</f>
        <v>10719143.286108</v>
      </c>
      <c r="J7" s="18">
        <f t="shared" si="4"/>
        <v>22223755.584102482</v>
      </c>
      <c r="K7" s="18">
        <f t="shared" si="4"/>
        <v>34556951.966558337</v>
      </c>
      <c r="L7" s="18">
        <f t="shared" si="4"/>
        <v>47764184.450713441</v>
      </c>
      <c r="M7" s="18">
        <f t="shared" si="4"/>
        <v>49514237.305834852</v>
      </c>
      <c r="N7" s="18">
        <f t="shared" si="4"/>
        <v>51328480.760369889</v>
      </c>
      <c r="O7" s="18">
        <f t="shared" si="4"/>
        <v>53209325.739340991</v>
      </c>
      <c r="P7" s="18">
        <f t="shared" si="4"/>
        <v>55159065.031521231</v>
      </c>
      <c r="Q7" s="18">
        <f t="shared" si="4"/>
        <v>57180349.476546854</v>
      </c>
      <c r="R7" s="18">
        <f t="shared" si="4"/>
        <v>59275688.024843261</v>
      </c>
      <c r="S7" s="18">
        <f t="shared" si="4"/>
        <v>61447947.73438856</v>
      </c>
      <c r="T7" s="18">
        <f t="shared" si="4"/>
        <v>63699925.256340213</v>
      </c>
      <c r="U7" s="18">
        <f t="shared" si="4"/>
        <v>66034370.673550434</v>
      </c>
    </row>
    <row r="9" spans="1:21" x14ac:dyDescent="0.25">
      <c r="A9" t="s">
        <v>121</v>
      </c>
      <c r="B9" t="s">
        <v>179</v>
      </c>
      <c r="C9" t="s">
        <v>120</v>
      </c>
      <c r="D9" s="20">
        <f>D5-D4</f>
        <v>570540392.94334841</v>
      </c>
    </row>
    <row r="10" spans="1:21" x14ac:dyDescent="0.25">
      <c r="A10" t="s">
        <v>244</v>
      </c>
      <c r="B10" t="s">
        <v>247</v>
      </c>
      <c r="C10" t="s">
        <v>126</v>
      </c>
      <c r="D10" s="21">
        <f>D5/D4</f>
        <v>9.4227870377811556</v>
      </c>
    </row>
    <row r="11" spans="1:21" x14ac:dyDescent="0.25">
      <c r="A11" t="s">
        <v>245</v>
      </c>
      <c r="B11" t="s">
        <v>248</v>
      </c>
      <c r="C11" t="s">
        <v>126</v>
      </c>
      <c r="D11" s="21">
        <f>D6/D4</f>
        <v>7.5382296302249259</v>
      </c>
    </row>
    <row r="12" spans="1:21" x14ac:dyDescent="0.25">
      <c r="A12" t="s">
        <v>246</v>
      </c>
      <c r="B12" t="s">
        <v>249</v>
      </c>
      <c r="C12" t="s">
        <v>126</v>
      </c>
      <c r="D12" s="21">
        <f>D7/D4</f>
        <v>9.3317788377352642</v>
      </c>
    </row>
    <row r="14" spans="1:21" x14ac:dyDescent="0.25">
      <c r="A14" t="s">
        <v>122</v>
      </c>
      <c r="B14" t="s">
        <v>124</v>
      </c>
      <c r="C14" t="s">
        <v>120</v>
      </c>
      <c r="D14" s="18">
        <f>SUM(E14:U14)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row>
    <row r="15" spans="1:21" x14ac:dyDescent="0.25">
      <c r="A15" t="s">
        <v>123</v>
      </c>
      <c r="B15" t="s">
        <v>125</v>
      </c>
      <c r="C15" t="s">
        <v>120</v>
      </c>
      <c r="D15" s="18">
        <f>D17</f>
        <v>638278113.29459786</v>
      </c>
      <c r="E15" s="18">
        <f t="shared" ref="E15:U15" si="5">E17</f>
        <v>0</v>
      </c>
      <c r="F15" s="18">
        <f t="shared" si="5"/>
        <v>0</v>
      </c>
      <c r="G15" s="18">
        <f t="shared" si="5"/>
        <v>0</v>
      </c>
      <c r="H15" s="18">
        <f t="shared" si="5"/>
        <v>0</v>
      </c>
      <c r="I15" s="18">
        <f t="shared" si="5"/>
        <v>10828542.74244</v>
      </c>
      <c r="J15" s="18">
        <f t="shared" si="5"/>
        <v>22449118.464146402</v>
      </c>
      <c r="K15" s="18">
        <f t="shared" si="5"/>
        <v>34905137.616226189</v>
      </c>
      <c r="L15" s="18">
        <f t="shared" si="5"/>
        <v>48242359.409590624</v>
      </c>
      <c r="M15" s="18">
        <f t="shared" si="5"/>
        <v>50006757.513478354</v>
      </c>
      <c r="N15" s="18">
        <f t="shared" si="5"/>
        <v>51835776.574242696</v>
      </c>
      <c r="O15" s="18">
        <f t="shared" si="5"/>
        <v>53731840.427629985</v>
      </c>
      <c r="P15" s="18">
        <f t="shared" si="5"/>
        <v>55697255.160458893</v>
      </c>
      <c r="Q15" s="18">
        <f t="shared" si="5"/>
        <v>57734685.309352651</v>
      </c>
      <c r="R15" s="18">
        <f t="shared" si="5"/>
        <v>59846653.932633229</v>
      </c>
      <c r="S15" s="18">
        <f t="shared" si="5"/>
        <v>62036042.619412228</v>
      </c>
      <c r="T15" s="18">
        <f t="shared" si="5"/>
        <v>64305662.987914592</v>
      </c>
      <c r="U15" s="18">
        <f t="shared" si="5"/>
        <v>66658280.53707204</v>
      </c>
    </row>
    <row r="17" spans="1:21" x14ac:dyDescent="0.25">
      <c r="A17" s="2" t="s">
        <v>127</v>
      </c>
      <c r="B17" s="2" t="s">
        <v>242</v>
      </c>
      <c r="C17" s="2"/>
      <c r="D17" s="23">
        <f>SUM(D19,D21)</f>
        <v>638278113.29459786</v>
      </c>
      <c r="E17" s="23">
        <f t="shared" ref="E17:U17" si="6">SUM(E19,E21)</f>
        <v>0</v>
      </c>
      <c r="F17" s="23">
        <f t="shared" si="6"/>
        <v>0</v>
      </c>
      <c r="G17" s="23">
        <f t="shared" si="6"/>
        <v>0</v>
      </c>
      <c r="H17" s="23">
        <f t="shared" si="6"/>
        <v>0</v>
      </c>
      <c r="I17" s="23">
        <f t="shared" si="6"/>
        <v>10828542.74244</v>
      </c>
      <c r="J17" s="23">
        <f t="shared" si="6"/>
        <v>22449118.464146402</v>
      </c>
      <c r="K17" s="23">
        <f t="shared" si="6"/>
        <v>34905137.616226189</v>
      </c>
      <c r="L17" s="23">
        <f t="shared" si="6"/>
        <v>48242359.409590624</v>
      </c>
      <c r="M17" s="23">
        <f t="shared" si="6"/>
        <v>50006757.513478354</v>
      </c>
      <c r="N17" s="23">
        <f t="shared" si="6"/>
        <v>51835776.574242696</v>
      </c>
      <c r="O17" s="23">
        <f t="shared" si="6"/>
        <v>53731840.427629985</v>
      </c>
      <c r="P17" s="23">
        <f t="shared" si="6"/>
        <v>55697255.160458893</v>
      </c>
      <c r="Q17" s="23">
        <f t="shared" si="6"/>
        <v>57734685.309352651</v>
      </c>
      <c r="R17" s="23">
        <f t="shared" si="6"/>
        <v>59846653.932633229</v>
      </c>
      <c r="S17" s="23">
        <f t="shared" si="6"/>
        <v>62036042.619412228</v>
      </c>
      <c r="T17" s="23">
        <f t="shared" si="6"/>
        <v>64305662.987914592</v>
      </c>
      <c r="U17" s="23">
        <f t="shared" si="6"/>
        <v>66658280.53707204</v>
      </c>
    </row>
    <row r="18" spans="1:21" x14ac:dyDescent="0.25">
      <c r="A18" t="s">
        <v>129</v>
      </c>
      <c r="B18" t="s">
        <v>22</v>
      </c>
      <c r="C18" t="s">
        <v>144</v>
      </c>
      <c r="D18" s="19">
        <v>59520</v>
      </c>
      <c r="E18" s="19"/>
      <c r="F18" s="19"/>
      <c r="G18" s="19"/>
      <c r="H18" s="19"/>
      <c r="I18" s="17">
        <f>$D18/4</f>
        <v>14880</v>
      </c>
      <c r="J18" s="17">
        <f>I18+$D18/4</f>
        <v>29760</v>
      </c>
      <c r="K18" s="17">
        <f>J18+$D18/4</f>
        <v>44640</v>
      </c>
      <c r="L18" s="17">
        <f>D18</f>
        <v>59520</v>
      </c>
      <c r="M18" s="17">
        <v>59520</v>
      </c>
      <c r="N18" s="17">
        <v>59520</v>
      </c>
      <c r="O18" s="17">
        <v>59520</v>
      </c>
      <c r="P18" s="17">
        <v>59520</v>
      </c>
      <c r="Q18" s="17">
        <v>59520</v>
      </c>
      <c r="R18" s="17">
        <v>59520</v>
      </c>
      <c r="S18" s="17">
        <v>59520</v>
      </c>
      <c r="T18" s="17">
        <v>59520</v>
      </c>
      <c r="U18" s="17">
        <v>59520</v>
      </c>
    </row>
    <row r="19" spans="1:21" ht="30" x14ac:dyDescent="0.25">
      <c r="A19" t="s">
        <v>130</v>
      </c>
      <c r="B19" s="1" t="s">
        <v>271</v>
      </c>
      <c r="C19" t="s">
        <v>120</v>
      </c>
      <c r="D19" s="18">
        <f t="shared" ref="D19" si="7">SUM(F19:U19)</f>
        <v>617729153.27999997</v>
      </c>
      <c r="E19" s="18">
        <f t="shared" ref="E19:H19" si="8">$U$29*(E18*$U$30*E25+E18*$U$31*E26)</f>
        <v>0</v>
      </c>
      <c r="F19" s="18">
        <f t="shared" si="8"/>
        <v>0</v>
      </c>
      <c r="G19" s="18">
        <f t="shared" si="8"/>
        <v>0</v>
      </c>
      <c r="H19" s="18">
        <f t="shared" si="8"/>
        <v>0</v>
      </c>
      <c r="I19" s="18">
        <f>$U$29*(I18*$U$30*I25+I18*$U$31*I26)</f>
        <v>10463877.888</v>
      </c>
      <c r="J19" s="18">
        <f t="shared" ref="J19:U19" si="9">$U$29*(J18*$U$30*J25+J18*$U$31*J26)</f>
        <v>21697908.864</v>
      </c>
      <c r="K19" s="18">
        <f t="shared" si="9"/>
        <v>33744518.784000002</v>
      </c>
      <c r="L19" s="18">
        <f t="shared" si="9"/>
        <v>46648442.879999995</v>
      </c>
      <c r="M19" s="18">
        <f t="shared" si="9"/>
        <v>48365023.488000005</v>
      </c>
      <c r="N19" s="18">
        <f t="shared" si="9"/>
        <v>50144790.527999997</v>
      </c>
      <c r="O19" s="18">
        <f t="shared" si="9"/>
        <v>51990124.800000004</v>
      </c>
      <c r="P19" s="18">
        <f t="shared" si="9"/>
        <v>53903288.06400001</v>
      </c>
      <c r="Q19" s="18">
        <f t="shared" si="9"/>
        <v>55886899.200000003</v>
      </c>
      <c r="R19" s="18">
        <f t="shared" si="9"/>
        <v>57943434.240000002</v>
      </c>
      <c r="S19" s="18">
        <f t="shared" si="9"/>
        <v>60075726.336000003</v>
      </c>
      <c r="T19" s="18">
        <f t="shared" si="9"/>
        <v>62286537.215999998</v>
      </c>
      <c r="U19" s="18">
        <f t="shared" si="9"/>
        <v>64578580.992000014</v>
      </c>
    </row>
    <row r="20" spans="1:21" x14ac:dyDescent="0.25">
      <c r="A20" t="s">
        <v>131</v>
      </c>
      <c r="B20" t="s">
        <v>23</v>
      </c>
      <c r="C20" t="s">
        <v>144</v>
      </c>
      <c r="D20" s="19">
        <v>4800</v>
      </c>
      <c r="E20" s="19"/>
      <c r="F20" s="19"/>
      <c r="G20" s="19"/>
      <c r="H20" s="19"/>
      <c r="I20" s="17">
        <f>$D20/4</f>
        <v>1200</v>
      </c>
      <c r="J20" s="17">
        <f>I20+$D20/4</f>
        <v>2400</v>
      </c>
      <c r="K20" s="17">
        <f>J20+$D20/4</f>
        <v>3600</v>
      </c>
      <c r="L20" s="17">
        <f>D20</f>
        <v>4800</v>
      </c>
      <c r="M20" s="17">
        <v>4800</v>
      </c>
      <c r="N20" s="17">
        <v>4800</v>
      </c>
      <c r="O20" s="17">
        <v>4800</v>
      </c>
      <c r="P20" s="17">
        <v>4800</v>
      </c>
      <c r="Q20" s="17">
        <v>4800</v>
      </c>
      <c r="R20" s="17">
        <v>4800</v>
      </c>
      <c r="S20" s="17">
        <v>4800</v>
      </c>
      <c r="T20" s="17">
        <v>4800</v>
      </c>
      <c r="U20" s="17">
        <v>4800</v>
      </c>
    </row>
    <row r="21" spans="1:21" x14ac:dyDescent="0.25">
      <c r="A21" t="s">
        <v>132</v>
      </c>
      <c r="B21" t="s">
        <v>241</v>
      </c>
      <c r="C21" t="s">
        <v>120</v>
      </c>
      <c r="D21" s="18">
        <f t="shared" ref="D21" si="10">SUM(F21:U21)</f>
        <v>20548960.014597859</v>
      </c>
      <c r="E21" s="18">
        <f t="shared" ref="E21:H21" si="11">E20*E24</f>
        <v>0</v>
      </c>
      <c r="F21" s="18">
        <f t="shared" si="11"/>
        <v>0</v>
      </c>
      <c r="G21" s="18">
        <f t="shared" si="11"/>
        <v>0</v>
      </c>
      <c r="H21" s="18">
        <f t="shared" si="11"/>
        <v>0</v>
      </c>
      <c r="I21" s="18">
        <f>I20*I24</f>
        <v>364664.85444000008</v>
      </c>
      <c r="J21" s="18">
        <f t="shared" ref="J21:U21" si="12">J20*J24</f>
        <v>751209.60014640016</v>
      </c>
      <c r="K21" s="18">
        <f t="shared" si="12"/>
        <v>1160618.8322261882</v>
      </c>
      <c r="L21" s="18">
        <f t="shared" si="12"/>
        <v>1593916.5295906318</v>
      </c>
      <c r="M21" s="18">
        <f t="shared" si="12"/>
        <v>1641734.0254783507</v>
      </c>
      <c r="N21" s="18">
        <f t="shared" si="12"/>
        <v>1690986.0462427014</v>
      </c>
      <c r="O21" s="18">
        <f t="shared" si="12"/>
        <v>1741715.6276299825</v>
      </c>
      <c r="P21" s="18">
        <f t="shared" si="12"/>
        <v>1793967.0964588821</v>
      </c>
      <c r="Q21" s="18">
        <f t="shared" si="12"/>
        <v>1847786.1093526485</v>
      </c>
      <c r="R21" s="18">
        <f t="shared" si="12"/>
        <v>1903219.6926332279</v>
      </c>
      <c r="S21" s="18">
        <f t="shared" si="12"/>
        <v>1960316.2834122248</v>
      </c>
      <c r="T21" s="18">
        <f t="shared" si="12"/>
        <v>2019125.7719145918</v>
      </c>
      <c r="U21" s="18">
        <f t="shared" si="12"/>
        <v>2079699.5450720296</v>
      </c>
    </row>
    <row r="23" spans="1:21" x14ac:dyDescent="0.25">
      <c r="A23" s="2" t="s">
        <v>147</v>
      </c>
      <c r="B23" s="2" t="s">
        <v>6</v>
      </c>
      <c r="C23" s="14"/>
      <c r="D23" s="2"/>
      <c r="E23" s="2"/>
      <c r="F23" s="2"/>
      <c r="G23" s="2"/>
      <c r="H23" s="2"/>
      <c r="I23" s="2"/>
      <c r="J23" s="2"/>
      <c r="K23" s="2"/>
      <c r="L23" s="2"/>
      <c r="M23" s="2"/>
      <c r="N23" s="2"/>
      <c r="O23" s="2"/>
      <c r="P23" s="2"/>
      <c r="Q23" s="2"/>
      <c r="R23" s="2"/>
      <c r="S23" s="2"/>
      <c r="T23" s="2"/>
      <c r="U23" s="2"/>
    </row>
    <row r="24" spans="1:21" ht="45" x14ac:dyDescent="0.25">
      <c r="A24" t="s">
        <v>148</v>
      </c>
      <c r="B24" s="1" t="s">
        <v>26</v>
      </c>
      <c r="C24" t="s">
        <v>120</v>
      </c>
      <c r="D24" s="19"/>
      <c r="E24" s="17">
        <f>30*9</f>
        <v>270</v>
      </c>
      <c r="F24" s="17">
        <f>E24*1.03</f>
        <v>278.10000000000002</v>
      </c>
      <c r="G24" s="17">
        <f t="shared" ref="G24:U24" si="13">F24*1.03</f>
        <v>286.44300000000004</v>
      </c>
      <c r="H24" s="17">
        <f t="shared" si="13"/>
        <v>295.03629000000006</v>
      </c>
      <c r="I24" s="17">
        <f t="shared" si="13"/>
        <v>303.88737870000006</v>
      </c>
      <c r="J24" s="17">
        <f t="shared" si="13"/>
        <v>313.00400006100006</v>
      </c>
      <c r="K24" s="17">
        <f t="shared" si="13"/>
        <v>322.39412006283004</v>
      </c>
      <c r="L24" s="17">
        <f t="shared" si="13"/>
        <v>332.06594366471495</v>
      </c>
      <c r="M24" s="17">
        <f t="shared" si="13"/>
        <v>342.02792197465641</v>
      </c>
      <c r="N24" s="17">
        <f t="shared" si="13"/>
        <v>352.28875963389612</v>
      </c>
      <c r="O24" s="17">
        <f t="shared" si="13"/>
        <v>362.85742242291303</v>
      </c>
      <c r="P24" s="17">
        <f t="shared" si="13"/>
        <v>373.74314509560043</v>
      </c>
      <c r="Q24" s="17">
        <f t="shared" si="13"/>
        <v>384.95543944846844</v>
      </c>
      <c r="R24" s="17">
        <f t="shared" si="13"/>
        <v>396.50410263192248</v>
      </c>
      <c r="S24" s="17">
        <f t="shared" si="13"/>
        <v>408.39922571088016</v>
      </c>
      <c r="T24" s="17">
        <f t="shared" si="13"/>
        <v>420.6512024822066</v>
      </c>
      <c r="U24" s="17">
        <f t="shared" si="13"/>
        <v>433.27073855667282</v>
      </c>
    </row>
    <row r="25" spans="1:21" ht="30" x14ac:dyDescent="0.25">
      <c r="A25" t="s">
        <v>149</v>
      </c>
      <c r="B25" s="1" t="s">
        <v>24</v>
      </c>
      <c r="C25" t="s">
        <v>120</v>
      </c>
      <c r="D25" s="19"/>
      <c r="E25" s="17">
        <v>2860.99</v>
      </c>
      <c r="F25" s="17">
        <v>2968.83</v>
      </c>
      <c r="G25" s="17">
        <v>3055.05</v>
      </c>
      <c r="H25" s="17">
        <v>3140.09</v>
      </c>
      <c r="I25" s="17">
        <v>3255.64</v>
      </c>
      <c r="J25" s="17">
        <v>3375.45</v>
      </c>
      <c r="K25" s="17">
        <v>3499.66</v>
      </c>
      <c r="L25" s="17">
        <v>3628.44</v>
      </c>
      <c r="M25" s="17">
        <v>3761.97</v>
      </c>
      <c r="N25" s="17">
        <v>3900.4</v>
      </c>
      <c r="O25" s="17">
        <v>4043.93</v>
      </c>
      <c r="P25" s="17">
        <v>4192.75</v>
      </c>
      <c r="Q25" s="17">
        <v>4347.04</v>
      </c>
      <c r="R25" s="17">
        <v>4507</v>
      </c>
      <c r="S25" s="17">
        <v>4672.8599999999997</v>
      </c>
      <c r="T25" s="17">
        <v>4844.82</v>
      </c>
      <c r="U25" s="17">
        <v>5023.1000000000004</v>
      </c>
    </row>
    <row r="26" spans="1:21" ht="30" x14ac:dyDescent="0.25">
      <c r="A26" t="s">
        <v>150</v>
      </c>
      <c r="B26" s="1" t="s">
        <v>25</v>
      </c>
      <c r="C26" t="s">
        <v>120</v>
      </c>
      <c r="D26" s="19"/>
      <c r="E26" s="17">
        <v>3147.09</v>
      </c>
      <c r="F26" s="17">
        <v>3265.72</v>
      </c>
      <c r="G26" s="17">
        <v>3360.56</v>
      </c>
      <c r="H26" s="17">
        <v>3454.1</v>
      </c>
      <c r="I26" s="17">
        <v>3581.2</v>
      </c>
      <c r="J26" s="17">
        <v>3712.99</v>
      </c>
      <c r="K26" s="17">
        <v>3849.62</v>
      </c>
      <c r="L26" s="17">
        <v>3991.29</v>
      </c>
      <c r="M26" s="17">
        <v>4138.16</v>
      </c>
      <c r="N26" s="17">
        <v>4290.4399999999996</v>
      </c>
      <c r="O26" s="17">
        <v>4448.33</v>
      </c>
      <c r="P26" s="17">
        <v>4612.0200000000004</v>
      </c>
      <c r="Q26" s="17">
        <v>4781.74</v>
      </c>
      <c r="R26" s="17">
        <v>4957.7</v>
      </c>
      <c r="S26" s="17">
        <v>5140.1400000000003</v>
      </c>
      <c r="T26" s="17">
        <v>5329.3</v>
      </c>
      <c r="U26" s="17">
        <v>5525.41</v>
      </c>
    </row>
    <row r="28" spans="1:21" x14ac:dyDescent="0.25">
      <c r="A28" s="2" t="s">
        <v>155</v>
      </c>
      <c r="B28" s="36" t="s">
        <v>277</v>
      </c>
      <c r="C28" s="2"/>
      <c r="D28" s="2"/>
      <c r="E28" s="2"/>
      <c r="F28" s="2"/>
      <c r="G28" s="2"/>
      <c r="H28" s="2"/>
      <c r="I28" s="2"/>
      <c r="J28" s="2"/>
      <c r="K28" s="2"/>
      <c r="L28" s="2"/>
      <c r="M28" s="2"/>
      <c r="N28" s="2"/>
      <c r="O28" s="2"/>
      <c r="P28" s="2"/>
      <c r="Q28" s="2"/>
      <c r="R28" s="2"/>
      <c r="S28" s="2"/>
      <c r="T28" s="2"/>
      <c r="U28" s="2"/>
    </row>
    <row r="29" spans="1:21" x14ac:dyDescent="0.25">
      <c r="A29" t="s">
        <v>156</v>
      </c>
      <c r="B29" t="s">
        <v>27</v>
      </c>
      <c r="U29" s="25">
        <v>0.2</v>
      </c>
    </row>
    <row r="30" spans="1:21" x14ac:dyDescent="0.25">
      <c r="A30" s="50" t="s">
        <v>157</v>
      </c>
      <c r="B30" s="53" t="s">
        <v>28</v>
      </c>
      <c r="C30" s="53"/>
      <c r="D30" s="53"/>
      <c r="E30" s="53"/>
      <c r="F30" s="53"/>
      <c r="G30" s="53"/>
      <c r="H30" s="53"/>
      <c r="I30" s="53"/>
      <c r="J30" s="53"/>
      <c r="K30" s="53"/>
      <c r="L30" s="53"/>
      <c r="M30" s="53"/>
      <c r="N30" s="53"/>
      <c r="O30" s="53"/>
      <c r="P30" s="53"/>
      <c r="T30" t="s">
        <v>30</v>
      </c>
      <c r="U30" s="25">
        <v>0.2</v>
      </c>
    </row>
    <row r="31" spans="1:21" x14ac:dyDescent="0.25">
      <c r="A31" s="50"/>
      <c r="B31" s="53"/>
      <c r="C31" s="53"/>
      <c r="D31" s="53"/>
      <c r="E31" s="53"/>
      <c r="F31" s="53"/>
      <c r="G31" s="53"/>
      <c r="H31" s="53"/>
      <c r="I31" s="53"/>
      <c r="J31" s="53"/>
      <c r="K31" s="53"/>
      <c r="L31" s="53"/>
      <c r="M31" s="53"/>
      <c r="N31" s="53"/>
      <c r="O31" s="53"/>
      <c r="P31" s="53"/>
      <c r="T31" t="s">
        <v>29</v>
      </c>
      <c r="U31" s="25">
        <v>0.8</v>
      </c>
    </row>
    <row r="32" spans="1:21" x14ac:dyDescent="0.25">
      <c r="A32" t="s">
        <v>222</v>
      </c>
      <c r="B32" t="s">
        <v>272</v>
      </c>
    </row>
    <row r="33" spans="1:2" x14ac:dyDescent="0.25">
      <c r="A33" t="s">
        <v>223</v>
      </c>
      <c r="B33" t="s">
        <v>273</v>
      </c>
    </row>
  </sheetData>
  <mergeCells count="7">
    <mergeCell ref="A30:A31"/>
    <mergeCell ref="B30:P31"/>
    <mergeCell ref="B2:B3"/>
    <mergeCell ref="D2:D3"/>
    <mergeCell ref="E1:U1"/>
    <mergeCell ref="A1:A3"/>
    <mergeCell ref="C2:C3"/>
  </mergeCells>
  <phoneticPr fontId="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3E119-B997-4A96-8BF2-E70DFCC5244B}">
  <sheetPr codeName="Sheet19">
    <tabColor theme="9" tint="0.79998168889431442"/>
  </sheetPr>
  <dimension ref="A1:AR31"/>
  <sheetViews>
    <sheetView workbookViewId="0">
      <selection activeCell="B12" sqref="A12:B14"/>
    </sheetView>
  </sheetViews>
  <sheetFormatPr defaultRowHeight="15" x14ac:dyDescent="0.25"/>
  <cols>
    <col min="2" max="2" width="79.28515625" customWidth="1"/>
    <col min="3" max="4" width="11.5703125" customWidth="1"/>
    <col min="5" max="5" width="10.85546875" customWidth="1"/>
    <col min="7" max="7" width="9.85546875" bestFit="1" customWidth="1"/>
    <col min="17" max="17" width="7.42578125" bestFit="1" customWidth="1"/>
    <col min="18" max="20" width="8.85546875" bestFit="1" customWidth="1"/>
    <col min="21" max="44" width="9.85546875" bestFit="1" customWidth="1"/>
  </cols>
  <sheetData>
    <row r="1" spans="1:44" x14ac:dyDescent="0.25">
      <c r="A1" s="42" t="s">
        <v>117</v>
      </c>
      <c r="B1" s="2" t="s">
        <v>112</v>
      </c>
      <c r="C1" s="15" t="s">
        <v>118</v>
      </c>
      <c r="D1" s="2"/>
      <c r="E1" s="52" t="s">
        <v>5</v>
      </c>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row>
    <row r="2" spans="1:44" x14ac:dyDescent="0.25">
      <c r="A2" s="42"/>
      <c r="B2" s="52" t="s">
        <v>3</v>
      </c>
      <c r="C2" s="49" t="s">
        <v>119</v>
      </c>
      <c r="D2" s="52" t="s">
        <v>4</v>
      </c>
      <c r="E2" s="2">
        <v>2022</v>
      </c>
      <c r="F2" s="2">
        <v>2023</v>
      </c>
      <c r="G2" s="2">
        <v>2024</v>
      </c>
      <c r="H2" s="2">
        <v>2025</v>
      </c>
      <c r="I2" s="2">
        <v>2026</v>
      </c>
      <c r="J2" s="2">
        <v>2027</v>
      </c>
      <c r="K2" s="2">
        <v>2028</v>
      </c>
      <c r="L2" s="2">
        <v>2029</v>
      </c>
      <c r="M2" s="2">
        <v>2030</v>
      </c>
      <c r="N2" s="2">
        <v>2031</v>
      </c>
      <c r="O2" s="2">
        <v>2032</v>
      </c>
      <c r="P2" s="2">
        <v>2033</v>
      </c>
      <c r="Q2" s="2">
        <v>2034</v>
      </c>
      <c r="R2" s="2">
        <v>2035</v>
      </c>
      <c r="S2" s="2">
        <v>2036</v>
      </c>
      <c r="T2" s="2">
        <v>2037</v>
      </c>
      <c r="U2" s="2">
        <v>2038</v>
      </c>
      <c r="V2" s="2">
        <v>2039</v>
      </c>
      <c r="W2" s="2">
        <v>2040</v>
      </c>
      <c r="X2" s="2">
        <v>2041</v>
      </c>
      <c r="Y2" s="2">
        <v>2042</v>
      </c>
      <c r="Z2" s="2">
        <v>2043</v>
      </c>
      <c r="AA2" s="2">
        <v>2044</v>
      </c>
      <c r="AB2" s="2">
        <v>2045</v>
      </c>
      <c r="AC2" s="2">
        <v>2046</v>
      </c>
      <c r="AD2" s="2">
        <v>2047</v>
      </c>
      <c r="AE2" s="2">
        <v>2048</v>
      </c>
      <c r="AF2" s="2">
        <v>2049</v>
      </c>
      <c r="AG2" s="2">
        <v>2050</v>
      </c>
      <c r="AH2" s="2">
        <v>2051</v>
      </c>
      <c r="AI2" s="2">
        <v>2052</v>
      </c>
      <c r="AJ2" s="2">
        <v>2053</v>
      </c>
      <c r="AK2" s="2">
        <v>2054</v>
      </c>
      <c r="AL2" s="2">
        <v>2055</v>
      </c>
      <c r="AM2" s="2">
        <v>2056</v>
      </c>
      <c r="AN2" s="2">
        <v>2057</v>
      </c>
      <c r="AO2" s="2">
        <v>2058</v>
      </c>
      <c r="AP2" s="2">
        <v>2059</v>
      </c>
      <c r="AQ2" s="2">
        <v>2060</v>
      </c>
      <c r="AR2" s="2">
        <v>2061</v>
      </c>
    </row>
    <row r="3" spans="1:44" x14ac:dyDescent="0.25">
      <c r="A3" s="42"/>
      <c r="B3" s="52"/>
      <c r="C3" s="49"/>
      <c r="D3" s="52"/>
      <c r="E3" s="2">
        <v>0</v>
      </c>
      <c r="F3" s="2">
        <v>1</v>
      </c>
      <c r="G3" s="2">
        <v>2</v>
      </c>
      <c r="H3" s="2">
        <v>3</v>
      </c>
      <c r="I3" s="2">
        <v>4</v>
      </c>
      <c r="J3" s="2">
        <v>5</v>
      </c>
      <c r="K3" s="2">
        <v>6</v>
      </c>
      <c r="L3" s="2">
        <v>7</v>
      </c>
      <c r="M3" s="2">
        <v>8</v>
      </c>
      <c r="N3" s="2">
        <v>9</v>
      </c>
      <c r="O3" s="2">
        <v>10</v>
      </c>
      <c r="P3" s="2">
        <v>11</v>
      </c>
      <c r="Q3" s="2">
        <v>12</v>
      </c>
      <c r="R3" s="2">
        <v>13</v>
      </c>
      <c r="S3" s="2">
        <v>14</v>
      </c>
      <c r="T3" s="2">
        <v>15</v>
      </c>
      <c r="U3" s="2">
        <v>16</v>
      </c>
      <c r="V3" s="2">
        <v>17</v>
      </c>
      <c r="W3" s="2">
        <v>18</v>
      </c>
      <c r="X3" s="2">
        <v>19</v>
      </c>
      <c r="Y3" s="2">
        <v>20</v>
      </c>
      <c r="Z3" s="2">
        <v>21</v>
      </c>
      <c r="AA3" s="2">
        <v>22</v>
      </c>
      <c r="AB3" s="2">
        <v>23</v>
      </c>
      <c r="AC3" s="2">
        <v>24</v>
      </c>
      <c r="AD3" s="2">
        <v>25</v>
      </c>
      <c r="AE3" s="2">
        <v>26</v>
      </c>
      <c r="AF3" s="2">
        <v>27</v>
      </c>
      <c r="AG3" s="2">
        <v>28</v>
      </c>
      <c r="AH3" s="2">
        <v>29</v>
      </c>
      <c r="AI3" s="2">
        <v>30</v>
      </c>
      <c r="AJ3" s="2">
        <v>31</v>
      </c>
      <c r="AK3" s="2">
        <v>32</v>
      </c>
      <c r="AL3" s="2">
        <v>33</v>
      </c>
      <c r="AM3" s="2">
        <v>34</v>
      </c>
      <c r="AN3" s="2">
        <v>35</v>
      </c>
      <c r="AO3" s="2">
        <v>36</v>
      </c>
      <c r="AP3" s="2">
        <v>37</v>
      </c>
      <c r="AQ3" s="2">
        <v>38</v>
      </c>
      <c r="AR3" s="2">
        <v>39</v>
      </c>
    </row>
    <row r="4" spans="1:44" x14ac:dyDescent="0.25">
      <c r="A4" t="s">
        <v>230</v>
      </c>
      <c r="B4" t="s">
        <v>313</v>
      </c>
      <c r="C4" t="s">
        <v>120</v>
      </c>
      <c r="D4" s="3">
        <f>E4+NPV(0.05,F4:L4)</f>
        <v>10254930.838654367</v>
      </c>
      <c r="E4" s="3"/>
      <c r="F4" s="3">
        <f>12405787/7</f>
        <v>1772255.2857142857</v>
      </c>
      <c r="G4" s="3">
        <f t="shared" ref="G4:L4" si="0">12405787/7</f>
        <v>1772255.2857142857</v>
      </c>
      <c r="H4" s="3">
        <f t="shared" si="0"/>
        <v>1772255.2857142857</v>
      </c>
      <c r="I4" s="3">
        <f t="shared" si="0"/>
        <v>1772255.2857142857</v>
      </c>
      <c r="J4" s="3">
        <f t="shared" si="0"/>
        <v>1772255.2857142857</v>
      </c>
      <c r="K4" s="3">
        <f t="shared" si="0"/>
        <v>1772255.2857142857</v>
      </c>
      <c r="L4" s="3">
        <f t="shared" si="0"/>
        <v>1772255.2857142857</v>
      </c>
    </row>
    <row r="5" spans="1:44" x14ac:dyDescent="0.25">
      <c r="A5" t="s">
        <v>204</v>
      </c>
      <c r="B5" t="s">
        <v>321</v>
      </c>
      <c r="C5" t="s">
        <v>120</v>
      </c>
      <c r="D5" s="3">
        <f>E5+NPV(0.05,F5:L5)</f>
        <v>7178451.587058058</v>
      </c>
      <c r="E5" s="3"/>
      <c r="F5" s="3">
        <f>F4*0.7</f>
        <v>1240578.7</v>
      </c>
      <c r="G5" s="3">
        <f t="shared" ref="G5:L5" si="1">G4*0.7</f>
        <v>1240578.7</v>
      </c>
      <c r="H5" s="3">
        <f t="shared" si="1"/>
        <v>1240578.7</v>
      </c>
      <c r="I5" s="3">
        <f t="shared" si="1"/>
        <v>1240578.7</v>
      </c>
      <c r="J5" s="3">
        <f t="shared" si="1"/>
        <v>1240578.7</v>
      </c>
      <c r="K5" s="3">
        <f t="shared" si="1"/>
        <v>1240578.7</v>
      </c>
      <c r="L5" s="3">
        <f t="shared" si="1"/>
        <v>1240578.7</v>
      </c>
    </row>
    <row r="6" spans="1:44" x14ac:dyDescent="0.25">
      <c r="A6" t="s">
        <v>250</v>
      </c>
      <c r="B6" t="s">
        <v>320</v>
      </c>
      <c r="C6" t="s">
        <v>120</v>
      </c>
      <c r="D6" s="3">
        <f>E6+NPV(0.05,F6:L6)</f>
        <v>10254930.838654367</v>
      </c>
      <c r="E6" s="3"/>
      <c r="F6" s="3">
        <f>F4</f>
        <v>1772255.2857142857</v>
      </c>
      <c r="G6" s="3">
        <f t="shared" ref="G6:L6" si="2">G4</f>
        <v>1772255.2857142857</v>
      </c>
      <c r="H6" s="3">
        <f t="shared" si="2"/>
        <v>1772255.2857142857</v>
      </c>
      <c r="I6" s="3">
        <f t="shared" si="2"/>
        <v>1772255.2857142857</v>
      </c>
      <c r="J6" s="3">
        <f t="shared" si="2"/>
        <v>1772255.2857142857</v>
      </c>
      <c r="K6" s="3">
        <f t="shared" si="2"/>
        <v>1772255.2857142857</v>
      </c>
      <c r="L6" s="3">
        <f t="shared" si="2"/>
        <v>1772255.2857142857</v>
      </c>
    </row>
    <row r="7" spans="1:44" x14ac:dyDescent="0.25">
      <c r="A7" t="s">
        <v>161</v>
      </c>
      <c r="B7" t="s">
        <v>316</v>
      </c>
      <c r="C7" t="s">
        <v>120</v>
      </c>
      <c r="D7" s="3">
        <f>SUM(D16:D17)</f>
        <v>162699816.0622398</v>
      </c>
      <c r="E7" s="3">
        <f t="shared" ref="E7:AR7" si="3">SUM(E16:E17)</f>
        <v>0</v>
      </c>
      <c r="F7" s="3">
        <f t="shared" si="3"/>
        <v>0</v>
      </c>
      <c r="G7" s="3">
        <f t="shared" si="3"/>
        <v>0</v>
      </c>
      <c r="H7" s="3">
        <f t="shared" si="3"/>
        <v>0</v>
      </c>
      <c r="I7" s="3">
        <f t="shared" si="3"/>
        <v>0</v>
      </c>
      <c r="J7" s="3">
        <f t="shared" si="3"/>
        <v>0</v>
      </c>
      <c r="K7" s="3">
        <f t="shared" si="3"/>
        <v>0</v>
      </c>
      <c r="L7" s="3">
        <f t="shared" si="3"/>
        <v>0</v>
      </c>
      <c r="M7" s="3">
        <f t="shared" si="3"/>
        <v>0</v>
      </c>
      <c r="N7" s="3">
        <f t="shared" si="3"/>
        <v>0</v>
      </c>
      <c r="O7" s="3">
        <f t="shared" si="3"/>
        <v>0</v>
      </c>
      <c r="P7" s="3">
        <f t="shared" si="3"/>
        <v>0</v>
      </c>
      <c r="Q7" s="3">
        <f t="shared" si="3"/>
        <v>411559.96800000005</v>
      </c>
      <c r="R7" s="3">
        <f t="shared" si="3"/>
        <v>1280114.496</v>
      </c>
      <c r="S7" s="3">
        <f t="shared" si="3"/>
        <v>2654441.2800000003</v>
      </c>
      <c r="T7" s="3">
        <f t="shared" si="3"/>
        <v>4586872.32</v>
      </c>
      <c r="U7" s="3">
        <f t="shared" si="3"/>
        <v>7133497.9200000009</v>
      </c>
      <c r="V7" s="3">
        <f t="shared" si="3"/>
        <v>9861336.9600000009</v>
      </c>
      <c r="W7" s="3">
        <f t="shared" si="3"/>
        <v>12780285.600000001</v>
      </c>
      <c r="X7" s="3">
        <f t="shared" si="3"/>
        <v>15900700.320000002</v>
      </c>
      <c r="Y7" s="3">
        <f t="shared" si="3"/>
        <v>19233488.400000002</v>
      </c>
      <c r="Z7" s="3">
        <f t="shared" si="3"/>
        <v>22789992.960000005</v>
      </c>
      <c r="AA7" s="3">
        <f t="shared" si="3"/>
        <v>25991534.976000004</v>
      </c>
      <c r="AB7" s="3">
        <f t="shared" si="3"/>
        <v>28785359.808000006</v>
      </c>
      <c r="AC7" s="3">
        <f t="shared" si="3"/>
        <v>31114608.000000007</v>
      </c>
      <c r="AD7" s="3">
        <f t="shared" si="3"/>
        <v>32917965.600000005</v>
      </c>
      <c r="AE7" s="3">
        <f t="shared" si="3"/>
        <v>34129305.600000001</v>
      </c>
      <c r="AF7" s="3">
        <f t="shared" si="3"/>
        <v>35385252</v>
      </c>
      <c r="AG7" s="3">
        <f t="shared" si="3"/>
        <v>36687403.200000003</v>
      </c>
      <c r="AH7" s="3">
        <f t="shared" si="3"/>
        <v>38037441.600000009</v>
      </c>
      <c r="AI7" s="3">
        <f t="shared" si="3"/>
        <v>39437196.000000007</v>
      </c>
      <c r="AJ7" s="3">
        <f t="shared" si="3"/>
        <v>36799617.600000001</v>
      </c>
      <c r="AK7" s="3">
        <f t="shared" si="3"/>
        <v>33914478.720000006</v>
      </c>
      <c r="AL7" s="3">
        <f t="shared" si="3"/>
        <v>30767189.040000003</v>
      </c>
      <c r="AM7" s="3">
        <f t="shared" si="3"/>
        <v>27342344.160000004</v>
      </c>
      <c r="AN7" s="3">
        <f t="shared" si="3"/>
        <v>23623762.800000004</v>
      </c>
      <c r="AO7" s="3">
        <f t="shared" si="3"/>
        <v>19594473.600000001</v>
      </c>
      <c r="AP7" s="3">
        <f t="shared" si="3"/>
        <v>15236652.960000001</v>
      </c>
      <c r="AQ7" s="3">
        <f t="shared" si="3"/>
        <v>10531563.840000002</v>
      </c>
      <c r="AR7" s="3">
        <f t="shared" si="3"/>
        <v>5459558.6400000006</v>
      </c>
    </row>
    <row r="8" spans="1:44" x14ac:dyDescent="0.25">
      <c r="A8" t="s">
        <v>162</v>
      </c>
      <c r="B8" t="s">
        <v>317</v>
      </c>
      <c r="C8" t="s">
        <v>120</v>
      </c>
      <c r="D8" s="3">
        <f>E8+NPV(0.05,F8:AR8)</f>
        <v>130159852.8497919</v>
      </c>
      <c r="E8" s="3">
        <f>E7*0.8</f>
        <v>0</v>
      </c>
      <c r="F8" s="3">
        <f>F7*0.8</f>
        <v>0</v>
      </c>
      <c r="G8" s="3">
        <f t="shared" ref="G8:AR8" si="4">G7*0.8</f>
        <v>0</v>
      </c>
      <c r="H8" s="3">
        <f t="shared" si="4"/>
        <v>0</v>
      </c>
      <c r="I8" s="3">
        <f t="shared" si="4"/>
        <v>0</v>
      </c>
      <c r="J8" s="3">
        <f t="shared" si="4"/>
        <v>0</v>
      </c>
      <c r="K8" s="3">
        <f t="shared" si="4"/>
        <v>0</v>
      </c>
      <c r="L8" s="3">
        <f t="shared" si="4"/>
        <v>0</v>
      </c>
      <c r="M8" s="3">
        <f t="shared" si="4"/>
        <v>0</v>
      </c>
      <c r="N8" s="3">
        <f t="shared" si="4"/>
        <v>0</v>
      </c>
      <c r="O8" s="3">
        <f t="shared" si="4"/>
        <v>0</v>
      </c>
      <c r="P8" s="3">
        <f t="shared" si="4"/>
        <v>0</v>
      </c>
      <c r="Q8" s="3">
        <f t="shared" si="4"/>
        <v>329247.97440000006</v>
      </c>
      <c r="R8" s="3">
        <f t="shared" si="4"/>
        <v>1024091.5968000001</v>
      </c>
      <c r="S8" s="3">
        <f t="shared" si="4"/>
        <v>2123553.0240000002</v>
      </c>
      <c r="T8" s="3">
        <f t="shared" si="4"/>
        <v>3669497.8560000006</v>
      </c>
      <c r="U8" s="3">
        <f t="shared" si="4"/>
        <v>5706798.3360000011</v>
      </c>
      <c r="V8" s="3">
        <f t="shared" si="4"/>
        <v>7889069.5680000009</v>
      </c>
      <c r="W8" s="3">
        <f t="shared" si="4"/>
        <v>10224228.480000002</v>
      </c>
      <c r="X8" s="3">
        <f t="shared" si="4"/>
        <v>12720560.256000003</v>
      </c>
      <c r="Y8" s="3">
        <f t="shared" si="4"/>
        <v>15386790.720000003</v>
      </c>
      <c r="Z8" s="3">
        <f t="shared" si="4"/>
        <v>18231994.368000004</v>
      </c>
      <c r="AA8" s="3">
        <f t="shared" si="4"/>
        <v>20793227.980800003</v>
      </c>
      <c r="AB8" s="3">
        <f t="shared" si="4"/>
        <v>23028287.846400008</v>
      </c>
      <c r="AC8" s="3">
        <f t="shared" si="4"/>
        <v>24891686.400000006</v>
      </c>
      <c r="AD8" s="3">
        <f t="shared" si="4"/>
        <v>26334372.480000004</v>
      </c>
      <c r="AE8" s="3">
        <f t="shared" si="4"/>
        <v>27303444.480000004</v>
      </c>
      <c r="AF8" s="3">
        <f t="shared" si="4"/>
        <v>28308201.600000001</v>
      </c>
      <c r="AG8" s="3">
        <f t="shared" si="4"/>
        <v>29349922.560000002</v>
      </c>
      <c r="AH8" s="3">
        <f t="shared" si="4"/>
        <v>30429953.280000009</v>
      </c>
      <c r="AI8" s="3">
        <f t="shared" si="4"/>
        <v>31549756.800000008</v>
      </c>
      <c r="AJ8" s="3">
        <f t="shared" si="4"/>
        <v>29439694.080000002</v>
      </c>
      <c r="AK8" s="3">
        <f t="shared" si="4"/>
        <v>27131582.976000007</v>
      </c>
      <c r="AL8" s="3">
        <f t="shared" si="4"/>
        <v>24613751.232000005</v>
      </c>
      <c r="AM8" s="3">
        <f t="shared" si="4"/>
        <v>21873875.328000005</v>
      </c>
      <c r="AN8" s="3">
        <f t="shared" si="4"/>
        <v>18899010.240000006</v>
      </c>
      <c r="AO8" s="3">
        <f t="shared" si="4"/>
        <v>15675578.880000003</v>
      </c>
      <c r="AP8" s="3">
        <f t="shared" si="4"/>
        <v>12189322.368000001</v>
      </c>
      <c r="AQ8" s="3">
        <f t="shared" si="4"/>
        <v>8425251.0720000025</v>
      </c>
      <c r="AR8" s="3">
        <f t="shared" si="4"/>
        <v>4367646.9120000005</v>
      </c>
    </row>
    <row r="9" spans="1:44" x14ac:dyDescent="0.25">
      <c r="A9" t="s">
        <v>164</v>
      </c>
      <c r="B9" t="s">
        <v>318</v>
      </c>
      <c r="C9" t="s">
        <v>120</v>
      </c>
      <c r="D9" s="3">
        <f>E9+NPV(0.05,F9:AR9)</f>
        <v>130159852.8497919</v>
      </c>
      <c r="E9" s="3">
        <f>E7*0.8</f>
        <v>0</v>
      </c>
      <c r="F9" s="3">
        <f t="shared" ref="F9:AR9" si="5">F7*0.8</f>
        <v>0</v>
      </c>
      <c r="G9" s="3">
        <f t="shared" si="5"/>
        <v>0</v>
      </c>
      <c r="H9" s="3">
        <f t="shared" si="5"/>
        <v>0</v>
      </c>
      <c r="I9" s="3">
        <f t="shared" si="5"/>
        <v>0</v>
      </c>
      <c r="J9" s="3">
        <f t="shared" si="5"/>
        <v>0</v>
      </c>
      <c r="K9" s="3">
        <f t="shared" si="5"/>
        <v>0</v>
      </c>
      <c r="L9" s="3">
        <f t="shared" si="5"/>
        <v>0</v>
      </c>
      <c r="M9" s="3">
        <f t="shared" si="5"/>
        <v>0</v>
      </c>
      <c r="N9" s="3">
        <f t="shared" si="5"/>
        <v>0</v>
      </c>
      <c r="O9" s="3">
        <f t="shared" si="5"/>
        <v>0</v>
      </c>
      <c r="P9" s="3">
        <f t="shared" si="5"/>
        <v>0</v>
      </c>
      <c r="Q9" s="3">
        <f t="shared" si="5"/>
        <v>329247.97440000006</v>
      </c>
      <c r="R9" s="3">
        <f t="shared" si="5"/>
        <v>1024091.5968000001</v>
      </c>
      <c r="S9" s="3">
        <f t="shared" si="5"/>
        <v>2123553.0240000002</v>
      </c>
      <c r="T9" s="3">
        <f t="shared" si="5"/>
        <v>3669497.8560000006</v>
      </c>
      <c r="U9" s="3">
        <f t="shared" si="5"/>
        <v>5706798.3360000011</v>
      </c>
      <c r="V9" s="3">
        <f t="shared" si="5"/>
        <v>7889069.5680000009</v>
      </c>
      <c r="W9" s="3">
        <f t="shared" si="5"/>
        <v>10224228.480000002</v>
      </c>
      <c r="X9" s="3">
        <f t="shared" si="5"/>
        <v>12720560.256000003</v>
      </c>
      <c r="Y9" s="3">
        <f t="shared" si="5"/>
        <v>15386790.720000003</v>
      </c>
      <c r="Z9" s="3">
        <f t="shared" si="5"/>
        <v>18231994.368000004</v>
      </c>
      <c r="AA9" s="3">
        <f t="shared" si="5"/>
        <v>20793227.980800003</v>
      </c>
      <c r="AB9" s="3">
        <f t="shared" si="5"/>
        <v>23028287.846400008</v>
      </c>
      <c r="AC9" s="3">
        <f t="shared" si="5"/>
        <v>24891686.400000006</v>
      </c>
      <c r="AD9" s="3">
        <f t="shared" si="5"/>
        <v>26334372.480000004</v>
      </c>
      <c r="AE9" s="3">
        <f t="shared" si="5"/>
        <v>27303444.480000004</v>
      </c>
      <c r="AF9" s="3">
        <f t="shared" si="5"/>
        <v>28308201.600000001</v>
      </c>
      <c r="AG9" s="3">
        <f t="shared" si="5"/>
        <v>29349922.560000002</v>
      </c>
      <c r="AH9" s="3">
        <f t="shared" si="5"/>
        <v>30429953.280000009</v>
      </c>
      <c r="AI9" s="3">
        <f t="shared" si="5"/>
        <v>31549756.800000008</v>
      </c>
      <c r="AJ9" s="3">
        <f t="shared" si="5"/>
        <v>29439694.080000002</v>
      </c>
      <c r="AK9" s="3">
        <f t="shared" si="5"/>
        <v>27131582.976000007</v>
      </c>
      <c r="AL9" s="3">
        <f t="shared" si="5"/>
        <v>24613751.232000005</v>
      </c>
      <c r="AM9" s="3">
        <f t="shared" si="5"/>
        <v>21873875.328000005</v>
      </c>
      <c r="AN9" s="3">
        <f t="shared" si="5"/>
        <v>18899010.240000006</v>
      </c>
      <c r="AO9" s="3">
        <f t="shared" si="5"/>
        <v>15675578.880000003</v>
      </c>
      <c r="AP9" s="3">
        <f t="shared" si="5"/>
        <v>12189322.368000001</v>
      </c>
      <c r="AQ9" s="3">
        <f t="shared" si="5"/>
        <v>8425251.0720000025</v>
      </c>
      <c r="AR9" s="3">
        <f t="shared" si="5"/>
        <v>4367646.9120000005</v>
      </c>
    </row>
    <row r="11" spans="1:44" x14ac:dyDescent="0.25">
      <c r="A11" t="s">
        <v>121</v>
      </c>
      <c r="B11" t="s">
        <v>179</v>
      </c>
      <c r="C11" t="s">
        <v>120</v>
      </c>
      <c r="D11" s="4">
        <f>D7-D4</f>
        <v>152444885.22358543</v>
      </c>
    </row>
    <row r="12" spans="1:44" x14ac:dyDescent="0.25">
      <c r="A12" t="s">
        <v>244</v>
      </c>
      <c r="B12" t="s">
        <v>247</v>
      </c>
      <c r="C12" t="s">
        <v>126</v>
      </c>
      <c r="D12" s="9">
        <f>D7/D4</f>
        <v>15.865520560018615</v>
      </c>
    </row>
    <row r="13" spans="1:44" x14ac:dyDescent="0.25">
      <c r="A13" t="s">
        <v>245</v>
      </c>
      <c r="B13" t="s">
        <v>248</v>
      </c>
      <c r="C13" t="s">
        <v>126</v>
      </c>
      <c r="D13" s="9">
        <f>D8/D5</f>
        <v>18.132023497164138</v>
      </c>
    </row>
    <row r="14" spans="1:44" x14ac:dyDescent="0.25">
      <c r="A14" t="s">
        <v>246</v>
      </c>
      <c r="B14" t="s">
        <v>249</v>
      </c>
      <c r="C14" t="s">
        <v>126</v>
      </c>
      <c r="D14" s="9">
        <f>D9/D6</f>
        <v>12.692416448014898</v>
      </c>
    </row>
    <row r="16" spans="1:44" x14ac:dyDescent="0.25">
      <c r="A16" t="s">
        <v>122</v>
      </c>
      <c r="B16" t="s">
        <v>124</v>
      </c>
      <c r="C16" t="s">
        <v>120</v>
      </c>
      <c r="D16" s="18">
        <f>SUM(E16:U16)</f>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18">
        <v>0</v>
      </c>
      <c r="AI16" s="18">
        <v>0</v>
      </c>
      <c r="AJ16" s="18">
        <v>0</v>
      </c>
      <c r="AK16" s="18">
        <v>0</v>
      </c>
      <c r="AL16" s="18">
        <v>0</v>
      </c>
      <c r="AM16" s="18">
        <v>0</v>
      </c>
      <c r="AN16" s="18">
        <v>0</v>
      </c>
      <c r="AO16" s="18">
        <v>0</v>
      </c>
      <c r="AP16" s="18">
        <v>0</v>
      </c>
      <c r="AQ16" s="18">
        <v>0</v>
      </c>
      <c r="AR16" s="18">
        <v>0</v>
      </c>
    </row>
    <row r="17" spans="1:44" x14ac:dyDescent="0.25">
      <c r="A17" t="s">
        <v>123</v>
      </c>
      <c r="B17" t="s">
        <v>125</v>
      </c>
      <c r="C17" t="s">
        <v>120</v>
      </c>
      <c r="D17" s="18">
        <f>D19</f>
        <v>162699816.0622398</v>
      </c>
      <c r="E17" s="18">
        <f t="shared" ref="E17:Z17" si="6">E19</f>
        <v>0</v>
      </c>
      <c r="F17" s="18">
        <f t="shared" si="6"/>
        <v>0</v>
      </c>
      <c r="G17" s="18">
        <f t="shared" si="6"/>
        <v>0</v>
      </c>
      <c r="H17" s="18">
        <f t="shared" si="6"/>
        <v>0</v>
      </c>
      <c r="I17" s="18">
        <f t="shared" si="6"/>
        <v>0</v>
      </c>
      <c r="J17" s="18">
        <f t="shared" si="6"/>
        <v>0</v>
      </c>
      <c r="K17" s="18">
        <f t="shared" si="6"/>
        <v>0</v>
      </c>
      <c r="L17" s="18">
        <f t="shared" si="6"/>
        <v>0</v>
      </c>
      <c r="M17" s="18">
        <f t="shared" si="6"/>
        <v>0</v>
      </c>
      <c r="N17" s="18">
        <f t="shared" si="6"/>
        <v>0</v>
      </c>
      <c r="O17" s="18">
        <f t="shared" si="6"/>
        <v>0</v>
      </c>
      <c r="P17" s="18">
        <f t="shared" si="6"/>
        <v>0</v>
      </c>
      <c r="Q17" s="18">
        <f t="shared" si="6"/>
        <v>411559.96800000005</v>
      </c>
      <c r="R17" s="18">
        <f t="shared" si="6"/>
        <v>1280114.496</v>
      </c>
      <c r="S17" s="18">
        <f t="shared" si="6"/>
        <v>2654441.2800000003</v>
      </c>
      <c r="T17" s="18">
        <f t="shared" si="6"/>
        <v>4586872.32</v>
      </c>
      <c r="U17" s="18">
        <f t="shared" si="6"/>
        <v>7133497.9200000009</v>
      </c>
      <c r="V17" s="18">
        <f t="shared" si="6"/>
        <v>9861336.9600000009</v>
      </c>
      <c r="W17" s="18">
        <f t="shared" si="6"/>
        <v>12780285.600000001</v>
      </c>
      <c r="X17" s="18">
        <f t="shared" si="6"/>
        <v>15900700.320000002</v>
      </c>
      <c r="Y17" s="18">
        <f t="shared" si="6"/>
        <v>19233488.400000002</v>
      </c>
      <c r="Z17" s="18">
        <f t="shared" si="6"/>
        <v>22789992.960000005</v>
      </c>
      <c r="AA17" s="18">
        <f t="shared" ref="AA17:AR17" si="7">AA19</f>
        <v>25991534.976000004</v>
      </c>
      <c r="AB17" s="18">
        <f t="shared" si="7"/>
        <v>28785359.808000006</v>
      </c>
      <c r="AC17" s="18">
        <f t="shared" si="7"/>
        <v>31114608.000000007</v>
      </c>
      <c r="AD17" s="18">
        <f t="shared" si="7"/>
        <v>32917965.600000005</v>
      </c>
      <c r="AE17" s="18">
        <f t="shared" si="7"/>
        <v>34129305.600000001</v>
      </c>
      <c r="AF17" s="18">
        <f t="shared" si="7"/>
        <v>35385252</v>
      </c>
      <c r="AG17" s="18">
        <f t="shared" si="7"/>
        <v>36687403.200000003</v>
      </c>
      <c r="AH17" s="18">
        <f t="shared" si="7"/>
        <v>38037441.600000009</v>
      </c>
      <c r="AI17" s="18">
        <f t="shared" si="7"/>
        <v>39437196.000000007</v>
      </c>
      <c r="AJ17" s="18">
        <f t="shared" si="7"/>
        <v>36799617.600000001</v>
      </c>
      <c r="AK17" s="18">
        <f t="shared" si="7"/>
        <v>33914478.720000006</v>
      </c>
      <c r="AL17" s="18">
        <f t="shared" si="7"/>
        <v>30767189.040000003</v>
      </c>
      <c r="AM17" s="18">
        <f t="shared" si="7"/>
        <v>27342344.160000004</v>
      </c>
      <c r="AN17" s="18">
        <f t="shared" si="7"/>
        <v>23623762.800000004</v>
      </c>
      <c r="AO17" s="18">
        <f t="shared" si="7"/>
        <v>19594473.600000001</v>
      </c>
      <c r="AP17" s="18">
        <f t="shared" si="7"/>
        <v>15236652.960000001</v>
      </c>
      <c r="AQ17" s="18">
        <f t="shared" si="7"/>
        <v>10531563.840000002</v>
      </c>
      <c r="AR17" s="18">
        <f t="shared" si="7"/>
        <v>5459558.6400000006</v>
      </c>
    </row>
    <row r="19" spans="1:44" x14ac:dyDescent="0.25">
      <c r="A19" s="2" t="s">
        <v>127</v>
      </c>
      <c r="B19" s="2" t="s">
        <v>242</v>
      </c>
      <c r="C19" s="2"/>
      <c r="D19" s="23">
        <f>D22</f>
        <v>162699816.0622398</v>
      </c>
      <c r="E19" s="23">
        <f t="shared" ref="E19:AR19" si="8">E22</f>
        <v>0</v>
      </c>
      <c r="F19" s="23">
        <f t="shared" si="8"/>
        <v>0</v>
      </c>
      <c r="G19" s="23">
        <f t="shared" si="8"/>
        <v>0</v>
      </c>
      <c r="H19" s="23">
        <f t="shared" si="8"/>
        <v>0</v>
      </c>
      <c r="I19" s="23">
        <f t="shared" si="8"/>
        <v>0</v>
      </c>
      <c r="J19" s="23">
        <f t="shared" si="8"/>
        <v>0</v>
      </c>
      <c r="K19" s="23">
        <f t="shared" si="8"/>
        <v>0</v>
      </c>
      <c r="L19" s="23">
        <f t="shared" si="8"/>
        <v>0</v>
      </c>
      <c r="M19" s="23">
        <f t="shared" si="8"/>
        <v>0</v>
      </c>
      <c r="N19" s="23">
        <f t="shared" si="8"/>
        <v>0</v>
      </c>
      <c r="O19" s="23">
        <f t="shared" si="8"/>
        <v>0</v>
      </c>
      <c r="P19" s="23">
        <f t="shared" si="8"/>
        <v>0</v>
      </c>
      <c r="Q19" s="23">
        <f t="shared" si="8"/>
        <v>411559.96800000005</v>
      </c>
      <c r="R19" s="23">
        <f t="shared" si="8"/>
        <v>1280114.496</v>
      </c>
      <c r="S19" s="23">
        <f t="shared" si="8"/>
        <v>2654441.2800000003</v>
      </c>
      <c r="T19" s="23">
        <f t="shared" si="8"/>
        <v>4586872.32</v>
      </c>
      <c r="U19" s="23">
        <f t="shared" si="8"/>
        <v>7133497.9200000009</v>
      </c>
      <c r="V19" s="23">
        <f t="shared" si="8"/>
        <v>9861336.9600000009</v>
      </c>
      <c r="W19" s="23">
        <f t="shared" si="8"/>
        <v>12780285.600000001</v>
      </c>
      <c r="X19" s="23">
        <f t="shared" si="8"/>
        <v>15900700.320000002</v>
      </c>
      <c r="Y19" s="23">
        <f t="shared" si="8"/>
        <v>19233488.400000002</v>
      </c>
      <c r="Z19" s="23">
        <f t="shared" si="8"/>
        <v>22789992.960000005</v>
      </c>
      <c r="AA19" s="23">
        <f t="shared" si="8"/>
        <v>25991534.976000004</v>
      </c>
      <c r="AB19" s="23">
        <f t="shared" si="8"/>
        <v>28785359.808000006</v>
      </c>
      <c r="AC19" s="23">
        <f t="shared" si="8"/>
        <v>31114608.000000007</v>
      </c>
      <c r="AD19" s="23">
        <f t="shared" si="8"/>
        <v>32917965.600000005</v>
      </c>
      <c r="AE19" s="23">
        <f t="shared" si="8"/>
        <v>34129305.600000001</v>
      </c>
      <c r="AF19" s="23">
        <f t="shared" si="8"/>
        <v>35385252</v>
      </c>
      <c r="AG19" s="23">
        <f t="shared" si="8"/>
        <v>36687403.200000003</v>
      </c>
      <c r="AH19" s="23">
        <f t="shared" si="8"/>
        <v>38037441.600000009</v>
      </c>
      <c r="AI19" s="23">
        <f t="shared" si="8"/>
        <v>39437196.000000007</v>
      </c>
      <c r="AJ19" s="23">
        <f t="shared" si="8"/>
        <v>36799617.600000001</v>
      </c>
      <c r="AK19" s="23">
        <f t="shared" si="8"/>
        <v>33914478.720000006</v>
      </c>
      <c r="AL19" s="23">
        <f t="shared" si="8"/>
        <v>30767189.040000003</v>
      </c>
      <c r="AM19" s="23">
        <f t="shared" si="8"/>
        <v>27342344.160000004</v>
      </c>
      <c r="AN19" s="23">
        <f t="shared" si="8"/>
        <v>23623762.800000004</v>
      </c>
      <c r="AO19" s="23">
        <f t="shared" si="8"/>
        <v>19594473.600000001</v>
      </c>
      <c r="AP19" s="23">
        <f t="shared" si="8"/>
        <v>15236652.960000001</v>
      </c>
      <c r="AQ19" s="23">
        <f t="shared" si="8"/>
        <v>10531563.840000002</v>
      </c>
      <c r="AR19" s="23">
        <f t="shared" si="8"/>
        <v>5459558.6400000006</v>
      </c>
    </row>
    <row r="20" spans="1:44" ht="30" x14ac:dyDescent="0.25">
      <c r="A20" t="s">
        <v>129</v>
      </c>
      <c r="B20" s="1" t="s">
        <v>64</v>
      </c>
      <c r="C20" t="s">
        <v>144</v>
      </c>
      <c r="D20" s="17">
        <v>20400</v>
      </c>
      <c r="E20" s="19"/>
      <c r="F20" s="17"/>
      <c r="G20" s="17"/>
      <c r="H20" s="17">
        <f>L20/5</f>
        <v>240</v>
      </c>
      <c r="I20" s="17">
        <f>H20+$H$20</f>
        <v>480</v>
      </c>
      <c r="J20" s="17">
        <f>I20+$H$20</f>
        <v>720</v>
      </c>
      <c r="K20" s="17">
        <f>J20+$H$20</f>
        <v>960</v>
      </c>
      <c r="L20" s="17">
        <v>1200</v>
      </c>
      <c r="M20" s="17">
        <v>1200</v>
      </c>
      <c r="N20" s="17">
        <v>1200</v>
      </c>
      <c r="O20" s="17">
        <v>1200</v>
      </c>
      <c r="P20" s="17">
        <v>1200</v>
      </c>
      <c r="Q20" s="17">
        <v>1200</v>
      </c>
      <c r="R20" s="17">
        <v>1200</v>
      </c>
      <c r="S20" s="17">
        <v>1200</v>
      </c>
      <c r="T20" s="17">
        <v>1200</v>
      </c>
      <c r="U20" s="17">
        <v>1200</v>
      </c>
      <c r="V20" s="17">
        <v>1200</v>
      </c>
      <c r="W20" s="17">
        <v>1200</v>
      </c>
      <c r="X20" s="17">
        <v>1200</v>
      </c>
      <c r="Y20" s="17">
        <v>1200</v>
      </c>
      <c r="Z20" s="17">
        <v>1200</v>
      </c>
      <c r="AA20" s="19"/>
      <c r="AB20" s="19"/>
      <c r="AC20" s="19"/>
      <c r="AD20" s="19"/>
      <c r="AE20" s="19"/>
      <c r="AF20" s="19"/>
      <c r="AG20" s="19"/>
      <c r="AH20" s="19"/>
      <c r="AI20" s="19"/>
      <c r="AJ20" s="19"/>
      <c r="AK20" s="19"/>
      <c r="AL20" s="19"/>
      <c r="AM20" s="19"/>
      <c r="AN20" s="19"/>
      <c r="AO20" s="19"/>
      <c r="AP20" s="19"/>
      <c r="AQ20" s="19"/>
      <c r="AR20" s="19"/>
    </row>
    <row r="21" spans="1:44" x14ac:dyDescent="0.25">
      <c r="A21" t="s">
        <v>130</v>
      </c>
      <c r="B21" s="1" t="s">
        <v>214</v>
      </c>
      <c r="C21" t="s">
        <v>144</v>
      </c>
      <c r="D21" s="17">
        <v>20400</v>
      </c>
      <c r="E21" s="19"/>
      <c r="F21" s="19"/>
      <c r="G21" s="19"/>
      <c r="H21" s="19"/>
      <c r="I21" s="19"/>
      <c r="J21" s="19"/>
      <c r="K21" s="19"/>
      <c r="L21" s="19"/>
      <c r="M21" s="19"/>
      <c r="N21" s="19"/>
      <c r="O21" s="19"/>
      <c r="P21" s="19"/>
      <c r="Q21" s="17">
        <f>H20</f>
        <v>240</v>
      </c>
      <c r="R21" s="17">
        <f>I20+Q21</f>
        <v>720</v>
      </c>
      <c r="S21" s="17">
        <f t="shared" ref="S21:Z21" si="9">J20+R21</f>
        <v>1440</v>
      </c>
      <c r="T21" s="17">
        <f t="shared" si="9"/>
        <v>2400</v>
      </c>
      <c r="U21" s="17">
        <f t="shared" si="9"/>
        <v>3600</v>
      </c>
      <c r="V21" s="17">
        <f t="shared" si="9"/>
        <v>4800</v>
      </c>
      <c r="W21" s="17">
        <f t="shared" si="9"/>
        <v>6000</v>
      </c>
      <c r="X21" s="17">
        <f t="shared" si="9"/>
        <v>7200</v>
      </c>
      <c r="Y21" s="17">
        <f t="shared" si="9"/>
        <v>8400</v>
      </c>
      <c r="Z21" s="17">
        <f t="shared" si="9"/>
        <v>9600</v>
      </c>
      <c r="AA21" s="17">
        <f>R20+Z21-H20</f>
        <v>10560</v>
      </c>
      <c r="AB21" s="17">
        <f>S20+AA21-I20</f>
        <v>11280</v>
      </c>
      <c r="AC21" s="17">
        <f t="shared" ref="AC21:AJ21" si="10">T20+AB21-J20</f>
        <v>11760</v>
      </c>
      <c r="AD21" s="17">
        <f t="shared" si="10"/>
        <v>12000</v>
      </c>
      <c r="AE21" s="17">
        <f t="shared" si="10"/>
        <v>12000</v>
      </c>
      <c r="AF21" s="17">
        <f t="shared" si="10"/>
        <v>12000</v>
      </c>
      <c r="AG21" s="17">
        <f t="shared" si="10"/>
        <v>12000</v>
      </c>
      <c r="AH21" s="17">
        <f t="shared" si="10"/>
        <v>12000</v>
      </c>
      <c r="AI21" s="17">
        <f t="shared" si="10"/>
        <v>12000</v>
      </c>
      <c r="AJ21" s="17">
        <f t="shared" si="10"/>
        <v>10800</v>
      </c>
      <c r="AK21" s="17">
        <f t="shared" ref="AK21" si="11">AB20+AJ21-R20</f>
        <v>9600</v>
      </c>
      <c r="AL21" s="17">
        <f t="shared" ref="AL21" si="12">AC20+AK21-S20</f>
        <v>8400</v>
      </c>
      <c r="AM21" s="17">
        <f t="shared" ref="AM21" si="13">AD20+AL21-T20</f>
        <v>7200</v>
      </c>
      <c r="AN21" s="17">
        <f t="shared" ref="AN21" si="14">AE20+AM21-U20</f>
        <v>6000</v>
      </c>
      <c r="AO21" s="17">
        <f t="shared" ref="AO21" si="15">AF20+AN21-V20</f>
        <v>4800</v>
      </c>
      <c r="AP21" s="17">
        <f t="shared" ref="AP21" si="16">AG20+AO21-W20</f>
        <v>3600</v>
      </c>
      <c r="AQ21" s="17">
        <f t="shared" ref="AQ21" si="17">AH20+AP21-X20</f>
        <v>2400</v>
      </c>
      <c r="AR21" s="17">
        <f t="shared" ref="AR21" si="18">AI20+AQ21-Y20</f>
        <v>1200</v>
      </c>
    </row>
    <row r="22" spans="1:44" x14ac:dyDescent="0.25">
      <c r="A22" t="s">
        <v>213</v>
      </c>
      <c r="B22" s="1" t="s">
        <v>239</v>
      </c>
      <c r="C22" t="s">
        <v>120</v>
      </c>
      <c r="D22" s="18">
        <f>NPV(0.05,F22:AR22)</f>
        <v>162699816.0622398</v>
      </c>
      <c r="E22" s="18"/>
      <c r="F22" s="18">
        <f t="shared" ref="F22:P22" si="19">F21*0.45*F25+0.4*0.4*F21*F26</f>
        <v>0</v>
      </c>
      <c r="G22" s="18">
        <f t="shared" si="19"/>
        <v>0</v>
      </c>
      <c r="H22" s="18">
        <f t="shared" si="19"/>
        <v>0</v>
      </c>
      <c r="I22" s="18">
        <f t="shared" si="19"/>
        <v>0</v>
      </c>
      <c r="J22" s="18">
        <f t="shared" si="19"/>
        <v>0</v>
      </c>
      <c r="K22" s="18">
        <f t="shared" si="19"/>
        <v>0</v>
      </c>
      <c r="L22" s="18">
        <f t="shared" si="19"/>
        <v>0</v>
      </c>
      <c r="M22" s="18">
        <f t="shared" si="19"/>
        <v>0</v>
      </c>
      <c r="N22" s="18">
        <f t="shared" si="19"/>
        <v>0</v>
      </c>
      <c r="O22" s="18">
        <f t="shared" si="19"/>
        <v>0</v>
      </c>
      <c r="P22" s="18">
        <f t="shared" si="19"/>
        <v>0</v>
      </c>
      <c r="Q22" s="18">
        <f>Q21*0.3*Q25+0.2*0.4*Q21*Q26</f>
        <v>411559.96800000005</v>
      </c>
      <c r="R22" s="18">
        <f t="shared" ref="R22:AR22" si="20">R21*0.3*R25+0.2*0.4*R21*R26</f>
        <v>1280114.496</v>
      </c>
      <c r="S22" s="18">
        <f t="shared" si="20"/>
        <v>2654441.2800000003</v>
      </c>
      <c r="T22" s="18">
        <f t="shared" si="20"/>
        <v>4586872.32</v>
      </c>
      <c r="U22" s="18">
        <f t="shared" si="20"/>
        <v>7133497.9200000009</v>
      </c>
      <c r="V22" s="18">
        <f t="shared" si="20"/>
        <v>9861336.9600000009</v>
      </c>
      <c r="W22" s="18">
        <f t="shared" si="20"/>
        <v>12780285.600000001</v>
      </c>
      <c r="X22" s="18">
        <f t="shared" si="20"/>
        <v>15900700.320000002</v>
      </c>
      <c r="Y22" s="18">
        <f t="shared" si="20"/>
        <v>19233488.400000002</v>
      </c>
      <c r="Z22" s="18">
        <f t="shared" si="20"/>
        <v>22789992.960000005</v>
      </c>
      <c r="AA22" s="18">
        <f t="shared" si="20"/>
        <v>25991534.976000004</v>
      </c>
      <c r="AB22" s="18">
        <f t="shared" si="20"/>
        <v>28785359.808000006</v>
      </c>
      <c r="AC22" s="18">
        <f t="shared" si="20"/>
        <v>31114608.000000007</v>
      </c>
      <c r="AD22" s="18">
        <f t="shared" si="20"/>
        <v>32917965.600000005</v>
      </c>
      <c r="AE22" s="18">
        <f t="shared" si="20"/>
        <v>34129305.600000001</v>
      </c>
      <c r="AF22" s="18">
        <f t="shared" si="20"/>
        <v>35385252</v>
      </c>
      <c r="AG22" s="18">
        <f t="shared" si="20"/>
        <v>36687403.200000003</v>
      </c>
      <c r="AH22" s="18">
        <f t="shared" si="20"/>
        <v>38037441.600000009</v>
      </c>
      <c r="AI22" s="18">
        <f t="shared" si="20"/>
        <v>39437196.000000007</v>
      </c>
      <c r="AJ22" s="18">
        <f t="shared" si="20"/>
        <v>36799617.600000001</v>
      </c>
      <c r="AK22" s="18">
        <f t="shared" si="20"/>
        <v>33914478.720000006</v>
      </c>
      <c r="AL22" s="18">
        <f t="shared" si="20"/>
        <v>30767189.040000003</v>
      </c>
      <c r="AM22" s="18">
        <f t="shared" si="20"/>
        <v>27342344.160000004</v>
      </c>
      <c r="AN22" s="18">
        <f t="shared" si="20"/>
        <v>23623762.800000004</v>
      </c>
      <c r="AO22" s="18">
        <f t="shared" si="20"/>
        <v>19594473.600000001</v>
      </c>
      <c r="AP22" s="18">
        <f t="shared" si="20"/>
        <v>15236652.960000001</v>
      </c>
      <c r="AQ22" s="18">
        <f t="shared" si="20"/>
        <v>10531563.840000002</v>
      </c>
      <c r="AR22" s="18">
        <f t="shared" si="20"/>
        <v>5459558.6400000006</v>
      </c>
    </row>
    <row r="24" spans="1:44" x14ac:dyDescent="0.25">
      <c r="A24" s="2" t="s">
        <v>147</v>
      </c>
      <c r="B24" s="2" t="s">
        <v>63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row>
    <row r="25" spans="1:44" ht="30" x14ac:dyDescent="0.25">
      <c r="A25" s="7" t="s">
        <v>148</v>
      </c>
      <c r="B25" s="1" t="s">
        <v>62</v>
      </c>
      <c r="C25" t="s">
        <v>120</v>
      </c>
      <c r="E25" s="17">
        <v>915.36</v>
      </c>
      <c r="F25" s="17">
        <v>949.87</v>
      </c>
      <c r="G25" s="17">
        <v>977.45</v>
      </c>
      <c r="H25" s="17">
        <v>1004.66</v>
      </c>
      <c r="I25" s="17">
        <v>1041.6300000000001</v>
      </c>
      <c r="J25" s="17">
        <v>1079.96</v>
      </c>
      <c r="K25" s="17">
        <v>1119.7</v>
      </c>
      <c r="L25" s="17">
        <v>1160.9100000000001</v>
      </c>
      <c r="M25" s="17">
        <v>1203.6300000000001</v>
      </c>
      <c r="N25" s="17">
        <v>1247.92</v>
      </c>
      <c r="O25" s="17">
        <v>1293.8399999999999</v>
      </c>
      <c r="P25" s="17">
        <v>1341.45</v>
      </c>
      <c r="Q25" s="17">
        <v>1390.82</v>
      </c>
      <c r="R25" s="17">
        <v>1442</v>
      </c>
      <c r="S25" s="17">
        <v>1495.06</v>
      </c>
      <c r="T25" s="17">
        <v>1550.08</v>
      </c>
      <c r="U25" s="17">
        <v>1607.12</v>
      </c>
      <c r="V25" s="17">
        <v>1666.26</v>
      </c>
      <c r="W25" s="17">
        <v>1727.58</v>
      </c>
      <c r="X25" s="17">
        <v>1791.15</v>
      </c>
      <c r="Y25" s="17">
        <v>1857.07</v>
      </c>
      <c r="Z25" s="17">
        <v>1925.4</v>
      </c>
      <c r="AA25" s="17">
        <v>1996.26</v>
      </c>
      <c r="AB25" s="17">
        <v>2069.7199999999998</v>
      </c>
      <c r="AC25" s="17">
        <v>2145.88</v>
      </c>
      <c r="AD25" s="17">
        <v>2224.85</v>
      </c>
      <c r="AE25" s="17">
        <v>2306.7199999999998</v>
      </c>
      <c r="AF25" s="17">
        <v>2391.61</v>
      </c>
      <c r="AG25" s="17">
        <v>2479.62</v>
      </c>
      <c r="AH25" s="17">
        <v>2570.86</v>
      </c>
      <c r="AI25" s="17">
        <v>2665.47</v>
      </c>
      <c r="AJ25" s="17">
        <v>2763.56</v>
      </c>
      <c r="AK25" s="17">
        <v>2865.25</v>
      </c>
      <c r="AL25" s="17">
        <v>2970.69</v>
      </c>
      <c r="AM25" s="17">
        <v>3080.01</v>
      </c>
      <c r="AN25" s="17">
        <v>3193.35</v>
      </c>
      <c r="AO25" s="17">
        <v>3310.86</v>
      </c>
      <c r="AP25" s="17">
        <v>3432.7</v>
      </c>
      <c r="AQ25" s="17">
        <v>3559.02</v>
      </c>
      <c r="AR25" s="17">
        <v>3689.99</v>
      </c>
    </row>
    <row r="26" spans="1:44" ht="30" x14ac:dyDescent="0.25">
      <c r="A26" s="7" t="s">
        <v>149</v>
      </c>
      <c r="B26" s="1" t="s">
        <v>44</v>
      </c>
      <c r="C26" t="s">
        <v>120</v>
      </c>
      <c r="E26" s="17">
        <v>10675.04</v>
      </c>
      <c r="F26" s="17">
        <v>11077.42</v>
      </c>
      <c r="G26" s="17">
        <v>11399.13</v>
      </c>
      <c r="H26" s="17">
        <v>11716.42</v>
      </c>
      <c r="I26" s="17">
        <v>12147.57</v>
      </c>
      <c r="J26" s="17">
        <v>12594.59</v>
      </c>
      <c r="K26" s="17">
        <v>13058.06</v>
      </c>
      <c r="L26" s="17">
        <v>13538.59</v>
      </c>
      <c r="M26" s="17">
        <v>14036.8</v>
      </c>
      <c r="N26" s="17">
        <v>14553.34</v>
      </c>
      <c r="O26" s="17">
        <v>15088.89</v>
      </c>
      <c r="P26" s="17">
        <v>15644.15</v>
      </c>
      <c r="Q26" s="17">
        <v>16219.84</v>
      </c>
      <c r="R26" s="17">
        <v>16816.71</v>
      </c>
      <c r="S26" s="17">
        <v>17435.55</v>
      </c>
      <c r="T26" s="17">
        <v>18077.16</v>
      </c>
      <c r="U26" s="17">
        <v>18742.39</v>
      </c>
      <c r="V26" s="17">
        <v>19432.09</v>
      </c>
      <c r="W26" s="17">
        <v>20147.169999999998</v>
      </c>
      <c r="X26" s="17">
        <v>20888.57</v>
      </c>
      <c r="Y26" s="17">
        <v>21657.25</v>
      </c>
      <c r="Z26" s="17">
        <v>22454.22</v>
      </c>
      <c r="AA26" s="17">
        <v>23280.52</v>
      </c>
      <c r="AB26" s="17">
        <v>24137.22</v>
      </c>
      <c r="AC26" s="17">
        <v>25025.45</v>
      </c>
      <c r="AD26" s="17">
        <v>25946.36</v>
      </c>
      <c r="AE26" s="17">
        <v>26901.16</v>
      </c>
      <c r="AF26" s="17">
        <v>27891.1</v>
      </c>
      <c r="AG26" s="17">
        <v>28917.47</v>
      </c>
      <c r="AH26" s="17">
        <v>29981.61</v>
      </c>
      <c r="AI26" s="17">
        <v>31084.9</v>
      </c>
      <c r="AJ26" s="17">
        <v>32228.799999999999</v>
      </c>
      <c r="AK26" s="17">
        <v>33414.79</v>
      </c>
      <c r="AL26" s="17">
        <v>34644.42</v>
      </c>
      <c r="AM26" s="17">
        <v>35919.31</v>
      </c>
      <c r="AN26" s="17">
        <v>37241.11</v>
      </c>
      <c r="AO26" s="17">
        <v>38611.550000000003</v>
      </c>
      <c r="AP26" s="17">
        <v>40032.42</v>
      </c>
      <c r="AQ26" s="17">
        <v>41505.57</v>
      </c>
      <c r="AR26" s="17">
        <v>43032.94</v>
      </c>
    </row>
    <row r="27" spans="1:44" x14ac:dyDescent="0.25">
      <c r="A27" s="7"/>
      <c r="E27" s="3"/>
      <c r="F27" s="3"/>
      <c r="G27" s="3"/>
      <c r="H27" s="3"/>
      <c r="I27" s="3"/>
      <c r="J27" s="3"/>
      <c r="K27" s="3"/>
      <c r="L27" s="3"/>
    </row>
    <row r="28" spans="1:44" x14ac:dyDescent="0.25">
      <c r="A28" s="2" t="s">
        <v>155</v>
      </c>
      <c r="B28" s="36" t="s">
        <v>277</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1:44" x14ac:dyDescent="0.25">
      <c r="A29" s="7" t="s">
        <v>156</v>
      </c>
      <c r="B29" t="s">
        <v>282</v>
      </c>
    </row>
    <row r="30" spans="1:44" x14ac:dyDescent="0.25">
      <c r="A30" t="s">
        <v>157</v>
      </c>
      <c r="B30" t="s">
        <v>243</v>
      </c>
    </row>
    <row r="31" spans="1:44" x14ac:dyDescent="0.25">
      <c r="A31" s="7" t="s">
        <v>222</v>
      </c>
      <c r="B31" t="s">
        <v>270</v>
      </c>
    </row>
  </sheetData>
  <mergeCells count="5">
    <mergeCell ref="B2:B3"/>
    <mergeCell ref="D2:D3"/>
    <mergeCell ref="E1:AR1"/>
    <mergeCell ref="A1:A3"/>
    <mergeCell ref="C2:C3"/>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8" tint="0.79998168889431442"/>
  </sheetPr>
  <dimension ref="A1:AI51"/>
  <sheetViews>
    <sheetView topLeftCell="B1" zoomScale="89" zoomScaleNormal="89" workbookViewId="0">
      <selection activeCell="D10" sqref="D10"/>
    </sheetView>
  </sheetViews>
  <sheetFormatPr defaultRowHeight="15" x14ac:dyDescent="0.25"/>
  <cols>
    <col min="2" max="2" width="91.140625" customWidth="1"/>
    <col min="3" max="3" width="14.85546875" customWidth="1"/>
    <col min="4" max="4" width="12.7109375" customWidth="1"/>
    <col min="5" max="5" width="10.85546875" customWidth="1"/>
    <col min="6" max="35" width="11" bestFit="1" customWidth="1"/>
  </cols>
  <sheetData>
    <row r="1" spans="1:35" ht="17.25" customHeight="1" x14ac:dyDescent="0.25">
      <c r="A1" s="43" t="s">
        <v>117</v>
      </c>
      <c r="B1" s="15" t="s">
        <v>96</v>
      </c>
      <c r="C1" s="15" t="s">
        <v>118</v>
      </c>
      <c r="D1" s="15"/>
      <c r="E1" s="40" t="s">
        <v>5</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x14ac:dyDescent="0.25">
      <c r="A2" s="44"/>
      <c r="B2" s="42" t="s">
        <v>3</v>
      </c>
      <c r="C2" s="46"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c r="AE2" s="15">
        <v>2048</v>
      </c>
      <c r="AF2" s="15">
        <v>2049</v>
      </c>
      <c r="AG2" s="15">
        <v>2050</v>
      </c>
      <c r="AH2" s="15">
        <v>2051</v>
      </c>
      <c r="AI2" s="15">
        <v>2052</v>
      </c>
    </row>
    <row r="3" spans="1:35" x14ac:dyDescent="0.25">
      <c r="A3" s="45"/>
      <c r="B3" s="42"/>
      <c r="C3" s="47"/>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c r="AE3" s="15">
        <v>26</v>
      </c>
      <c r="AF3" s="15">
        <v>27</v>
      </c>
      <c r="AG3" s="15">
        <v>28</v>
      </c>
      <c r="AH3" s="15">
        <v>29</v>
      </c>
      <c r="AI3" s="15">
        <v>30</v>
      </c>
    </row>
    <row r="4" spans="1:35" x14ac:dyDescent="0.25">
      <c r="A4" t="s">
        <v>230</v>
      </c>
      <c r="B4" t="s">
        <v>324</v>
      </c>
      <c r="C4" t="s">
        <v>120</v>
      </c>
      <c r="D4" s="18">
        <f>E4+NPV(0.05,F4:L4)</f>
        <v>64611230.193187438</v>
      </c>
      <c r="E4" s="18">
        <v>9383727</v>
      </c>
      <c r="F4" s="18">
        <v>15000000</v>
      </c>
      <c r="G4" s="18">
        <v>9383727</v>
      </c>
      <c r="H4" s="18">
        <v>15000000</v>
      </c>
      <c r="I4" s="18">
        <v>9383727</v>
      </c>
      <c r="J4" s="18">
        <v>15000000</v>
      </c>
      <c r="K4" s="18"/>
      <c r="L4" s="18"/>
      <c r="M4" s="22"/>
      <c r="N4" s="22"/>
      <c r="O4" s="22"/>
      <c r="P4" s="22"/>
      <c r="Q4" s="22"/>
      <c r="R4" s="22"/>
      <c r="S4" s="22"/>
      <c r="T4" s="22"/>
      <c r="U4" s="22"/>
      <c r="V4" s="22"/>
      <c r="W4" s="22"/>
      <c r="X4" s="22"/>
      <c r="Y4" s="22"/>
      <c r="Z4" s="22"/>
      <c r="AA4" s="22"/>
      <c r="AB4" s="22"/>
      <c r="AC4" s="22"/>
      <c r="AD4" s="22"/>
      <c r="AE4" s="22"/>
      <c r="AF4" s="22"/>
      <c r="AG4" s="22"/>
      <c r="AH4" s="22"/>
      <c r="AI4" s="22"/>
    </row>
    <row r="5" spans="1:35" x14ac:dyDescent="0.25">
      <c r="A5" t="s">
        <v>204</v>
      </c>
      <c r="B5" t="s">
        <v>325</v>
      </c>
      <c r="C5" t="s">
        <v>120</v>
      </c>
      <c r="D5" s="18">
        <f>E5+NPV(0.05,F5:L5)</f>
        <v>45227861.135231197</v>
      </c>
      <c r="E5" s="18">
        <f>E4*0.7</f>
        <v>6568608.8999999994</v>
      </c>
      <c r="F5" s="18">
        <f t="shared" ref="F5:J5" si="0">F4*0.7</f>
        <v>10500000</v>
      </c>
      <c r="G5" s="18">
        <f t="shared" si="0"/>
        <v>6568608.8999999994</v>
      </c>
      <c r="H5" s="18">
        <f t="shared" si="0"/>
        <v>10500000</v>
      </c>
      <c r="I5" s="18">
        <f t="shared" si="0"/>
        <v>6568608.8999999994</v>
      </c>
      <c r="J5" s="18">
        <f t="shared" si="0"/>
        <v>10500000</v>
      </c>
      <c r="K5" s="18"/>
      <c r="L5" s="18"/>
      <c r="M5" s="22"/>
      <c r="N5" s="22"/>
      <c r="O5" s="22"/>
      <c r="P5" s="22"/>
      <c r="Q5" s="22"/>
      <c r="R5" s="22"/>
      <c r="S5" s="22"/>
      <c r="T5" s="22"/>
      <c r="U5" s="22"/>
      <c r="V5" s="22"/>
      <c r="W5" s="22"/>
      <c r="X5" s="22"/>
      <c r="Y5" s="22"/>
      <c r="Z5" s="22"/>
      <c r="AA5" s="22"/>
      <c r="AB5" s="22"/>
      <c r="AC5" s="22"/>
      <c r="AD5" s="22"/>
      <c r="AE5" s="22"/>
      <c r="AF5" s="22"/>
      <c r="AG5" s="22"/>
      <c r="AH5" s="22"/>
      <c r="AI5" s="22"/>
    </row>
    <row r="6" spans="1:35" x14ac:dyDescent="0.25">
      <c r="A6" t="s">
        <v>161</v>
      </c>
      <c r="B6" t="s">
        <v>323</v>
      </c>
      <c r="C6" t="s">
        <v>120</v>
      </c>
      <c r="D6" s="18">
        <f>SUM(D14:D15)</f>
        <v>298448219.07558513</v>
      </c>
      <c r="E6" s="18">
        <f t="shared" ref="E6:U6" si="1">SUM(E14:E15)</f>
        <v>0</v>
      </c>
      <c r="F6" s="18">
        <f t="shared" si="1"/>
        <v>13243378.334285714</v>
      </c>
      <c r="G6" s="18">
        <f t="shared" si="1"/>
        <v>13682666.643928571</v>
      </c>
      <c r="H6" s="18">
        <f t="shared" si="1"/>
        <v>14537282.227857143</v>
      </c>
      <c r="I6" s="18">
        <f t="shared" si="1"/>
        <v>15715067.994785715</v>
      </c>
      <c r="J6" s="18">
        <f t="shared" si="1"/>
        <v>17218241.957974285</v>
      </c>
      <c r="K6" s="18">
        <f t="shared" si="1"/>
        <v>18818262.031449258</v>
      </c>
      <c r="L6" s="18">
        <f t="shared" si="1"/>
        <v>20250487.447720945</v>
      </c>
      <c r="M6" s="18">
        <f t="shared" si="1"/>
        <v>19025540.123934716</v>
      </c>
      <c r="N6" s="18">
        <f t="shared" si="1"/>
        <v>19307661.966909897</v>
      </c>
      <c r="O6" s="18">
        <f t="shared" si="1"/>
        <v>19599439.297638625</v>
      </c>
      <c r="P6" s="18">
        <f t="shared" si="1"/>
        <v>19807326.935628496</v>
      </c>
      <c r="Q6" s="18">
        <f t="shared" si="1"/>
        <v>20030773.709879495</v>
      </c>
      <c r="R6" s="18">
        <f t="shared" si="1"/>
        <v>20220673.433918737</v>
      </c>
      <c r="S6" s="18">
        <f t="shared" si="1"/>
        <v>20412081.48459344</v>
      </c>
      <c r="T6" s="18">
        <f t="shared" si="1"/>
        <v>20604882.908966959</v>
      </c>
      <c r="U6" s="18">
        <f t="shared" si="1"/>
        <v>20798887.498664539</v>
      </c>
      <c r="V6" s="18">
        <f t="shared" ref="V6:AI6" si="2">SUM(V14:V15)</f>
        <v>20993953.39173162</v>
      </c>
      <c r="W6" s="18">
        <f t="shared" si="2"/>
        <v>21341010.968140714</v>
      </c>
      <c r="X6" s="18">
        <f t="shared" si="2"/>
        <v>21699886.086156361</v>
      </c>
      <c r="Y6" s="18">
        <f t="shared" si="2"/>
        <v>22070963.933912482</v>
      </c>
      <c r="Z6" s="18">
        <f t="shared" si="2"/>
        <v>22454689.547701284</v>
      </c>
      <c r="AA6" s="18">
        <f t="shared" si="2"/>
        <v>22851495.572046611</v>
      </c>
      <c r="AB6" s="18">
        <f t="shared" si="2"/>
        <v>23261811.465208005</v>
      </c>
      <c r="AC6" s="18">
        <f t="shared" si="2"/>
        <v>23686123.627335675</v>
      </c>
      <c r="AD6" s="18">
        <f t="shared" si="2"/>
        <v>24124890.745641459</v>
      </c>
      <c r="AE6" s="18">
        <f t="shared" si="2"/>
        <v>24578630.576667849</v>
      </c>
      <c r="AF6" s="18">
        <f t="shared" si="2"/>
        <v>25047856.220025029</v>
      </c>
      <c r="AG6" s="18">
        <f t="shared" si="2"/>
        <v>25533099.477968641</v>
      </c>
      <c r="AH6" s="18">
        <f t="shared" si="2"/>
        <v>26034929.152336262</v>
      </c>
      <c r="AI6" s="18">
        <f t="shared" si="2"/>
        <v>26553890.938934922</v>
      </c>
    </row>
    <row r="7" spans="1:35" x14ac:dyDescent="0.25">
      <c r="A7" t="s">
        <v>162</v>
      </c>
      <c r="B7" t="s">
        <v>312</v>
      </c>
      <c r="C7" t="s">
        <v>120</v>
      </c>
      <c r="D7" s="18">
        <f>E7+NPV(0.05,F7:AI7)</f>
        <v>179068931.44535118</v>
      </c>
      <c r="E7" s="18">
        <f>E6*0.6</f>
        <v>0</v>
      </c>
      <c r="F7" s="18">
        <f t="shared" ref="F7:AI7" si="3">F6*0.6</f>
        <v>7946027.0005714279</v>
      </c>
      <c r="G7" s="18">
        <f t="shared" si="3"/>
        <v>8209599.9863571422</v>
      </c>
      <c r="H7" s="18">
        <f t="shared" si="3"/>
        <v>8722369.3367142845</v>
      </c>
      <c r="I7" s="18">
        <f t="shared" si="3"/>
        <v>9429040.7968714293</v>
      </c>
      <c r="J7" s="18">
        <f t="shared" si="3"/>
        <v>10330945.174784571</v>
      </c>
      <c r="K7" s="18">
        <f t="shared" si="3"/>
        <v>11290957.218869554</v>
      </c>
      <c r="L7" s="18">
        <f t="shared" si="3"/>
        <v>12150292.468632566</v>
      </c>
      <c r="M7" s="18">
        <f t="shared" si="3"/>
        <v>11415324.074360829</v>
      </c>
      <c r="N7" s="18">
        <f t="shared" si="3"/>
        <v>11584597.180145938</v>
      </c>
      <c r="O7" s="18">
        <f t="shared" si="3"/>
        <v>11759663.578583175</v>
      </c>
      <c r="P7" s="18">
        <f t="shared" si="3"/>
        <v>11884396.161377097</v>
      </c>
      <c r="Q7" s="18">
        <f t="shared" si="3"/>
        <v>12018464.225927697</v>
      </c>
      <c r="R7" s="18">
        <f t="shared" si="3"/>
        <v>12132404.060351241</v>
      </c>
      <c r="S7" s="18">
        <f t="shared" si="3"/>
        <v>12247248.890756063</v>
      </c>
      <c r="T7" s="18">
        <f t="shared" si="3"/>
        <v>12362929.745380174</v>
      </c>
      <c r="U7" s="18">
        <f t="shared" si="3"/>
        <v>12479332.499198724</v>
      </c>
      <c r="V7" s="18">
        <f t="shared" si="3"/>
        <v>12596372.035038972</v>
      </c>
      <c r="W7" s="18">
        <f t="shared" si="3"/>
        <v>12804606.580884429</v>
      </c>
      <c r="X7" s="18">
        <f t="shared" si="3"/>
        <v>13019931.651693815</v>
      </c>
      <c r="Y7" s="18">
        <f t="shared" si="3"/>
        <v>13242578.360347489</v>
      </c>
      <c r="Z7" s="18">
        <f t="shared" si="3"/>
        <v>13472813.728620769</v>
      </c>
      <c r="AA7" s="18">
        <f t="shared" si="3"/>
        <v>13710897.343227966</v>
      </c>
      <c r="AB7" s="18">
        <f t="shared" si="3"/>
        <v>13957086.879124803</v>
      </c>
      <c r="AC7" s="18">
        <f t="shared" si="3"/>
        <v>14211674.176401405</v>
      </c>
      <c r="AD7" s="18">
        <f t="shared" si="3"/>
        <v>14474934.447384875</v>
      </c>
      <c r="AE7" s="18">
        <f t="shared" si="3"/>
        <v>14747178.346000709</v>
      </c>
      <c r="AF7" s="18">
        <f t="shared" si="3"/>
        <v>15028713.732015017</v>
      </c>
      <c r="AG7" s="18">
        <f t="shared" si="3"/>
        <v>15319859.686781183</v>
      </c>
      <c r="AH7" s="18">
        <f t="shared" si="3"/>
        <v>15620957.491401756</v>
      </c>
      <c r="AI7" s="18">
        <f t="shared" si="3"/>
        <v>15932334.563360952</v>
      </c>
    </row>
    <row r="9" spans="1:35" x14ac:dyDescent="0.25">
      <c r="A9" t="s">
        <v>121</v>
      </c>
      <c r="B9" t="s">
        <v>179</v>
      </c>
      <c r="C9" t="s">
        <v>120</v>
      </c>
      <c r="D9" s="20">
        <f>D6-D4</f>
        <v>233836988.88239768</v>
      </c>
      <c r="F9" s="3"/>
    </row>
    <row r="10" spans="1:35" x14ac:dyDescent="0.25">
      <c r="A10" t="s">
        <v>244</v>
      </c>
      <c r="B10" t="s">
        <v>247</v>
      </c>
      <c r="C10" t="s">
        <v>126</v>
      </c>
      <c r="D10" s="24">
        <f>D6/D4</f>
        <v>4.6191384714890216</v>
      </c>
    </row>
    <row r="11" spans="1:35" x14ac:dyDescent="0.25">
      <c r="A11" t="s">
        <v>245</v>
      </c>
      <c r="B11" t="s">
        <v>248</v>
      </c>
      <c r="C11" t="s">
        <v>126</v>
      </c>
      <c r="D11" s="21">
        <f>D10</f>
        <v>4.6191384714890216</v>
      </c>
      <c r="E11" t="s">
        <v>322</v>
      </c>
    </row>
    <row r="12" spans="1:35" x14ac:dyDescent="0.25">
      <c r="A12" t="s">
        <v>246</v>
      </c>
      <c r="B12" t="s">
        <v>249</v>
      </c>
      <c r="C12" t="s">
        <v>126</v>
      </c>
      <c r="D12" s="21">
        <f>D7/D5</f>
        <v>3.959261546990593</v>
      </c>
    </row>
    <row r="14" spans="1:35" x14ac:dyDescent="0.25">
      <c r="A14" t="s">
        <v>122</v>
      </c>
      <c r="B14" t="s">
        <v>124</v>
      </c>
      <c r="C14" t="s">
        <v>120</v>
      </c>
      <c r="D14" s="18">
        <f>E14+NPV(0.05,F14:U14)</f>
        <v>0</v>
      </c>
      <c r="E14" s="22">
        <v>0</v>
      </c>
      <c r="F14" s="22">
        <v>0</v>
      </c>
      <c r="G14" s="22">
        <v>0</v>
      </c>
      <c r="H14" s="22">
        <v>0</v>
      </c>
      <c r="I14" s="22">
        <v>0</v>
      </c>
      <c r="J14" s="22">
        <v>0</v>
      </c>
      <c r="K14" s="22">
        <v>0</v>
      </c>
      <c r="L14" s="22">
        <v>0</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row>
    <row r="15" spans="1:35" x14ac:dyDescent="0.25">
      <c r="A15" t="s">
        <v>123</v>
      </c>
      <c r="B15" t="s">
        <v>125</v>
      </c>
      <c r="C15" t="s">
        <v>120</v>
      </c>
      <c r="D15" s="18">
        <f>SUM(D17,D25)</f>
        <v>298448219.07558513</v>
      </c>
      <c r="E15" s="18">
        <f t="shared" ref="E15:U15" si="4">SUM(E17,E25)</f>
        <v>0</v>
      </c>
      <c r="F15" s="18">
        <f t="shared" si="4"/>
        <v>13243378.334285714</v>
      </c>
      <c r="G15" s="18">
        <f t="shared" si="4"/>
        <v>13682666.643928571</v>
      </c>
      <c r="H15" s="18">
        <f t="shared" si="4"/>
        <v>14537282.227857143</v>
      </c>
      <c r="I15" s="18">
        <f t="shared" si="4"/>
        <v>15715067.994785715</v>
      </c>
      <c r="J15" s="18">
        <f t="shared" si="4"/>
        <v>17218241.957974285</v>
      </c>
      <c r="K15" s="18">
        <f t="shared" si="4"/>
        <v>18818262.031449258</v>
      </c>
      <c r="L15" s="18">
        <f t="shared" si="4"/>
        <v>20250487.447720945</v>
      </c>
      <c r="M15" s="18">
        <f t="shared" si="4"/>
        <v>19025540.123934716</v>
      </c>
      <c r="N15" s="18">
        <f t="shared" si="4"/>
        <v>19307661.966909897</v>
      </c>
      <c r="O15" s="18">
        <f t="shared" si="4"/>
        <v>19599439.297638625</v>
      </c>
      <c r="P15" s="18">
        <f t="shared" si="4"/>
        <v>19807326.935628496</v>
      </c>
      <c r="Q15" s="18">
        <f t="shared" si="4"/>
        <v>20030773.709879495</v>
      </c>
      <c r="R15" s="18">
        <f t="shared" si="4"/>
        <v>20220673.433918737</v>
      </c>
      <c r="S15" s="18">
        <f t="shared" si="4"/>
        <v>20412081.48459344</v>
      </c>
      <c r="T15" s="18">
        <f t="shared" si="4"/>
        <v>20604882.908966959</v>
      </c>
      <c r="U15" s="18">
        <f t="shared" si="4"/>
        <v>20798887.498664539</v>
      </c>
      <c r="V15" s="18">
        <f t="shared" ref="V15:AI15" si="5">SUM(V17,V25)</f>
        <v>20993953.39173162</v>
      </c>
      <c r="W15" s="18">
        <f t="shared" si="5"/>
        <v>21341010.968140714</v>
      </c>
      <c r="X15" s="18">
        <f t="shared" si="5"/>
        <v>21699886.086156361</v>
      </c>
      <c r="Y15" s="18">
        <f t="shared" si="5"/>
        <v>22070963.933912482</v>
      </c>
      <c r="Z15" s="18">
        <f t="shared" si="5"/>
        <v>22454689.547701284</v>
      </c>
      <c r="AA15" s="18">
        <f t="shared" si="5"/>
        <v>22851495.572046611</v>
      </c>
      <c r="AB15" s="18">
        <f t="shared" si="5"/>
        <v>23261811.465208005</v>
      </c>
      <c r="AC15" s="18">
        <f t="shared" si="5"/>
        <v>23686123.627335675</v>
      </c>
      <c r="AD15" s="18">
        <f t="shared" si="5"/>
        <v>24124890.745641459</v>
      </c>
      <c r="AE15" s="18">
        <f t="shared" si="5"/>
        <v>24578630.576667849</v>
      </c>
      <c r="AF15" s="18">
        <f t="shared" si="5"/>
        <v>25047856.220025029</v>
      </c>
      <c r="AG15" s="18">
        <f t="shared" si="5"/>
        <v>25533099.477968641</v>
      </c>
      <c r="AH15" s="18">
        <f t="shared" si="5"/>
        <v>26034929.152336262</v>
      </c>
      <c r="AI15" s="18">
        <f t="shared" si="5"/>
        <v>26553890.938934922</v>
      </c>
    </row>
    <row r="17" spans="1:35" x14ac:dyDescent="0.25">
      <c r="A17" s="2" t="s">
        <v>127</v>
      </c>
      <c r="B17" s="2" t="s">
        <v>242</v>
      </c>
      <c r="C17" s="2"/>
      <c r="D17" s="23">
        <f>NPV(0.05,F17:AI17)</f>
        <v>70578930.505480722</v>
      </c>
      <c r="E17" s="23">
        <f>SUM(E19,E21,E23)</f>
        <v>0</v>
      </c>
      <c r="F17" s="23">
        <f t="shared" ref="F17:AI17" si="6">SUM(F19,F21,F23)</f>
        <v>2411112.6428571427</v>
      </c>
      <c r="G17" s="23">
        <f t="shared" si="6"/>
        <v>2694437.0028571426</v>
      </c>
      <c r="H17" s="23">
        <f t="shared" si="6"/>
        <v>3127569.0328571424</v>
      </c>
      <c r="I17" s="23">
        <f t="shared" si="6"/>
        <v>3609541.6337142857</v>
      </c>
      <c r="J17" s="23">
        <f t="shared" si="6"/>
        <v>4117668.0197600005</v>
      </c>
      <c r="K17" s="23">
        <f t="shared" si="6"/>
        <v>4653085.8278778289</v>
      </c>
      <c r="L17" s="23">
        <f t="shared" si="6"/>
        <v>5216976.885220943</v>
      </c>
      <c r="M17" s="23">
        <f t="shared" si="6"/>
        <v>3838218.503934714</v>
      </c>
      <c r="N17" s="23">
        <f t="shared" si="6"/>
        <v>3961065.9219098981</v>
      </c>
      <c r="O17" s="23">
        <f t="shared" si="6"/>
        <v>4087880.2901386237</v>
      </c>
      <c r="P17" s="23">
        <f t="shared" si="6"/>
        <v>4218793.8631284963</v>
      </c>
      <c r="Q17" s="23">
        <f t="shared" si="6"/>
        <v>4353940.0298794946</v>
      </c>
      <c r="R17" s="23">
        <f t="shared" si="6"/>
        <v>4493455.4939187365</v>
      </c>
      <c r="S17" s="23">
        <f t="shared" si="6"/>
        <v>4637484.5695934417</v>
      </c>
      <c r="T17" s="23">
        <f t="shared" si="6"/>
        <v>4786172.9089669595</v>
      </c>
      <c r="U17" s="23">
        <f t="shared" si="6"/>
        <v>4939674.9736645399</v>
      </c>
      <c r="V17" s="23">
        <f t="shared" si="6"/>
        <v>5098145.6517316196</v>
      </c>
      <c r="W17" s="23">
        <f t="shared" si="6"/>
        <v>5261749.848140711</v>
      </c>
      <c r="X17" s="23">
        <f t="shared" si="6"/>
        <v>5430654.1061563613</v>
      </c>
      <c r="Y17" s="23">
        <f t="shared" si="6"/>
        <v>5605031.9739124803</v>
      </c>
      <c r="Z17" s="23">
        <f t="shared" si="6"/>
        <v>5785064.0877012843</v>
      </c>
      <c r="AA17" s="23">
        <f t="shared" si="6"/>
        <v>5970932.972046609</v>
      </c>
      <c r="AB17" s="23">
        <f t="shared" si="6"/>
        <v>6162831.5852080071</v>
      </c>
      <c r="AC17" s="23">
        <f t="shared" si="6"/>
        <v>6360957.0673356764</v>
      </c>
      <c r="AD17" s="23">
        <f t="shared" si="6"/>
        <v>6565514.0056414614</v>
      </c>
      <c r="AE17" s="23">
        <f t="shared" si="6"/>
        <v>6776712.4166678488</v>
      </c>
      <c r="AF17" s="23">
        <f t="shared" si="6"/>
        <v>6994769.9600250274</v>
      </c>
      <c r="AG17" s="23">
        <f t="shared" si="6"/>
        <v>7219913.0979686361</v>
      </c>
      <c r="AH17" s="23">
        <f t="shared" si="6"/>
        <v>7452372.9723362643</v>
      </c>
      <c r="AI17" s="23">
        <f t="shared" si="6"/>
        <v>7692390.7989349235</v>
      </c>
    </row>
    <row r="18" spans="1:35" x14ac:dyDescent="0.25">
      <c r="A18" t="s">
        <v>129</v>
      </c>
      <c r="B18" t="s">
        <v>0</v>
      </c>
      <c r="C18" t="s">
        <v>144</v>
      </c>
      <c r="D18" s="17">
        <v>740</v>
      </c>
      <c r="E18" s="17">
        <v>0</v>
      </c>
      <c r="F18" s="17">
        <f>$D$18/$L$3</f>
        <v>105.71428571428571</v>
      </c>
      <c r="G18" s="17">
        <f>$D$18/$L$3</f>
        <v>105.71428571428571</v>
      </c>
      <c r="H18" s="17">
        <f t="shared" ref="H18:L18" si="7">$D$18/$L$3</f>
        <v>105.71428571428571</v>
      </c>
      <c r="I18" s="17">
        <f t="shared" si="7"/>
        <v>105.71428571428571</v>
      </c>
      <c r="J18" s="17">
        <f t="shared" si="7"/>
        <v>105.71428571428571</v>
      </c>
      <c r="K18" s="17">
        <f t="shared" si="7"/>
        <v>105.71428571428571</v>
      </c>
      <c r="L18" s="17">
        <f t="shared" si="7"/>
        <v>105.71428571428571</v>
      </c>
      <c r="M18" s="17">
        <f>L18</f>
        <v>105.71428571428571</v>
      </c>
      <c r="N18" s="17">
        <f t="shared" ref="N18:AI18" si="8">M18</f>
        <v>105.71428571428571</v>
      </c>
      <c r="O18" s="17">
        <f t="shared" si="8"/>
        <v>105.71428571428571</v>
      </c>
      <c r="P18" s="17">
        <f t="shared" si="8"/>
        <v>105.71428571428571</v>
      </c>
      <c r="Q18" s="17">
        <f t="shared" si="8"/>
        <v>105.71428571428571</v>
      </c>
      <c r="R18" s="17">
        <f t="shared" si="8"/>
        <v>105.71428571428571</v>
      </c>
      <c r="S18" s="17">
        <f t="shared" si="8"/>
        <v>105.71428571428571</v>
      </c>
      <c r="T18" s="17">
        <f t="shared" si="8"/>
        <v>105.71428571428571</v>
      </c>
      <c r="U18" s="17">
        <f t="shared" si="8"/>
        <v>105.71428571428571</v>
      </c>
      <c r="V18" s="17">
        <f t="shared" si="8"/>
        <v>105.71428571428571</v>
      </c>
      <c r="W18" s="17">
        <f t="shared" si="8"/>
        <v>105.71428571428571</v>
      </c>
      <c r="X18" s="17">
        <f t="shared" si="8"/>
        <v>105.71428571428571</v>
      </c>
      <c r="Y18" s="17">
        <f t="shared" si="8"/>
        <v>105.71428571428571</v>
      </c>
      <c r="Z18" s="17">
        <f t="shared" si="8"/>
        <v>105.71428571428571</v>
      </c>
      <c r="AA18" s="17">
        <f t="shared" si="8"/>
        <v>105.71428571428571</v>
      </c>
      <c r="AB18" s="17">
        <f t="shared" si="8"/>
        <v>105.71428571428571</v>
      </c>
      <c r="AC18" s="17">
        <f t="shared" si="8"/>
        <v>105.71428571428571</v>
      </c>
      <c r="AD18" s="17">
        <f t="shared" si="8"/>
        <v>105.71428571428571</v>
      </c>
      <c r="AE18" s="17">
        <f t="shared" si="8"/>
        <v>105.71428571428571</v>
      </c>
      <c r="AF18" s="17">
        <f t="shared" si="8"/>
        <v>105.71428571428571</v>
      </c>
      <c r="AG18" s="17">
        <f t="shared" si="8"/>
        <v>105.71428571428571</v>
      </c>
      <c r="AH18" s="17">
        <f t="shared" si="8"/>
        <v>105.71428571428571</v>
      </c>
      <c r="AI18" s="17">
        <f t="shared" si="8"/>
        <v>105.71428571428571</v>
      </c>
    </row>
    <row r="19" spans="1:35" x14ac:dyDescent="0.25">
      <c r="A19" t="s">
        <v>130</v>
      </c>
      <c r="B19" t="s">
        <v>289</v>
      </c>
      <c r="C19" t="s">
        <v>120</v>
      </c>
      <c r="D19" s="18">
        <f>NPV(0.05,F19:U19)</f>
        <v>12228575.940531341</v>
      </c>
      <c r="E19" s="18">
        <f>E18*E35</f>
        <v>0</v>
      </c>
      <c r="F19" s="18">
        <f t="shared" ref="F19:AI19" si="9">F18*F35</f>
        <v>893732.88571428566</v>
      </c>
      <c r="G19" s="18">
        <f t="shared" si="9"/>
        <v>919687.85714285704</v>
      </c>
      <c r="H19" s="18">
        <f t="shared" si="9"/>
        <v>945287.62857142847</v>
      </c>
      <c r="I19" s="18">
        <f t="shared" si="9"/>
        <v>980072.91428571416</v>
      </c>
      <c r="J19" s="18">
        <f t="shared" si="9"/>
        <v>1016138.4</v>
      </c>
      <c r="K19" s="18">
        <f t="shared" si="9"/>
        <v>1053531.6571428571</v>
      </c>
      <c r="L19" s="18">
        <f t="shared" si="9"/>
        <v>1092301.3142857142</v>
      </c>
      <c r="M19" s="18">
        <f t="shared" si="9"/>
        <v>1132495.9999999998</v>
      </c>
      <c r="N19" s="18">
        <f t="shared" si="9"/>
        <v>1174171.7428571428</v>
      </c>
      <c r="O19" s="18">
        <f t="shared" si="9"/>
        <v>1217379.2857142857</v>
      </c>
      <c r="P19" s="18">
        <f t="shared" si="9"/>
        <v>1262177.8285714285</v>
      </c>
      <c r="Q19" s="18">
        <f t="shared" si="9"/>
        <v>1308625.5142857141</v>
      </c>
      <c r="R19" s="18">
        <f t="shared" si="9"/>
        <v>1356781.5428571429</v>
      </c>
      <c r="S19" s="18">
        <f t="shared" si="9"/>
        <v>1406710.4</v>
      </c>
      <c r="T19" s="18">
        <f t="shared" si="9"/>
        <v>1458475.5142857141</v>
      </c>
      <c r="U19" s="18">
        <f t="shared" si="9"/>
        <v>1512146.6571428571</v>
      </c>
      <c r="V19" s="18">
        <f t="shared" si="9"/>
        <v>1567791.4857142856</v>
      </c>
      <c r="W19" s="18">
        <f t="shared" si="9"/>
        <v>1625485.057142857</v>
      </c>
      <c r="X19" s="18">
        <f t="shared" si="9"/>
        <v>1685301.3714285714</v>
      </c>
      <c r="Y19" s="18">
        <f t="shared" si="9"/>
        <v>1747318.6571428569</v>
      </c>
      <c r="Z19" s="18">
        <f t="shared" si="9"/>
        <v>1811619.3714285712</v>
      </c>
      <c r="AA19" s="18">
        <f t="shared" si="9"/>
        <v>1878284.9142857143</v>
      </c>
      <c r="AB19" s="18">
        <f t="shared" si="9"/>
        <v>1947404.0857142855</v>
      </c>
      <c r="AC19" s="18">
        <f t="shared" si="9"/>
        <v>2019066.7428571426</v>
      </c>
      <c r="AD19" s="18">
        <f t="shared" si="9"/>
        <v>2093366.9714285713</v>
      </c>
      <c r="AE19" s="18">
        <f t="shared" si="9"/>
        <v>2170400.9714285713</v>
      </c>
      <c r="AF19" s="18">
        <f t="shared" si="9"/>
        <v>2250269.1714285715</v>
      </c>
      <c r="AG19" s="18">
        <f t="shared" si="9"/>
        <v>2333077.2857142859</v>
      </c>
      <c r="AH19" s="18">
        <f t="shared" si="9"/>
        <v>2418932.0857142857</v>
      </c>
      <c r="AI19" s="18">
        <f t="shared" si="9"/>
        <v>2507946.6857142854</v>
      </c>
    </row>
    <row r="20" spans="1:35" x14ac:dyDescent="0.25">
      <c r="A20" t="s">
        <v>131</v>
      </c>
      <c r="B20" t="s">
        <v>1</v>
      </c>
      <c r="C20" t="s">
        <v>144</v>
      </c>
      <c r="D20" s="17">
        <v>110</v>
      </c>
      <c r="E20" s="17">
        <v>0</v>
      </c>
      <c r="F20" s="17">
        <f t="shared" ref="F20:L20" si="10">$D$20/$L$3</f>
        <v>15.714285714285714</v>
      </c>
      <c r="G20" s="17">
        <f t="shared" si="10"/>
        <v>15.714285714285714</v>
      </c>
      <c r="H20" s="17">
        <f t="shared" si="10"/>
        <v>15.714285714285714</v>
      </c>
      <c r="I20" s="17">
        <f t="shared" si="10"/>
        <v>15.714285714285714</v>
      </c>
      <c r="J20" s="17">
        <f t="shared" si="10"/>
        <v>15.714285714285714</v>
      </c>
      <c r="K20" s="17">
        <f t="shared" si="10"/>
        <v>15.714285714285714</v>
      </c>
      <c r="L20" s="17">
        <f t="shared" si="10"/>
        <v>15.714285714285714</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row>
    <row r="21" spans="1:35" x14ac:dyDescent="0.25">
      <c r="A21" t="s">
        <v>132</v>
      </c>
      <c r="B21" t="s">
        <v>290</v>
      </c>
      <c r="C21" t="s">
        <v>120</v>
      </c>
      <c r="D21" s="18">
        <f>NPV(0.05,F21:U21)</f>
        <v>7991108.5003873706</v>
      </c>
      <c r="E21" s="18">
        <f>E20*(0.9*E36+0.1*E37)</f>
        <v>0</v>
      </c>
      <c r="F21" s="18">
        <f t="shared" ref="F21:AI21" si="11">F20*(0.9*F36+0.1*F37)</f>
        <v>1297379.7571428569</v>
      </c>
      <c r="G21" s="18">
        <f t="shared" si="11"/>
        <v>1321549.1457142856</v>
      </c>
      <c r="H21" s="18">
        <f t="shared" si="11"/>
        <v>1342048.6042857142</v>
      </c>
      <c r="I21" s="18">
        <f t="shared" si="11"/>
        <v>1379389.0314285716</v>
      </c>
      <c r="J21" s="18">
        <f t="shared" si="11"/>
        <v>1417768.4400000002</v>
      </c>
      <c r="K21" s="18">
        <f t="shared" si="11"/>
        <v>1457215.6814285715</v>
      </c>
      <c r="L21" s="18">
        <f t="shared" si="11"/>
        <v>1497760.5185714287</v>
      </c>
      <c r="M21" s="18">
        <f t="shared" si="11"/>
        <v>0</v>
      </c>
      <c r="N21" s="18">
        <f t="shared" si="11"/>
        <v>0</v>
      </c>
      <c r="O21" s="18">
        <f t="shared" si="11"/>
        <v>0</v>
      </c>
      <c r="P21" s="18">
        <f t="shared" si="11"/>
        <v>0</v>
      </c>
      <c r="Q21" s="18">
        <f t="shared" si="11"/>
        <v>0</v>
      </c>
      <c r="R21" s="18">
        <f t="shared" si="11"/>
        <v>0</v>
      </c>
      <c r="S21" s="18">
        <f t="shared" si="11"/>
        <v>0</v>
      </c>
      <c r="T21" s="18">
        <f t="shared" si="11"/>
        <v>0</v>
      </c>
      <c r="U21" s="18">
        <f t="shared" si="11"/>
        <v>0</v>
      </c>
      <c r="V21" s="18">
        <f t="shared" si="11"/>
        <v>0</v>
      </c>
      <c r="W21" s="18">
        <f t="shared" si="11"/>
        <v>0</v>
      </c>
      <c r="X21" s="18">
        <f t="shared" si="11"/>
        <v>0</v>
      </c>
      <c r="Y21" s="18">
        <f t="shared" si="11"/>
        <v>0</v>
      </c>
      <c r="Z21" s="18">
        <f t="shared" si="11"/>
        <v>0</v>
      </c>
      <c r="AA21" s="18">
        <f t="shared" si="11"/>
        <v>0</v>
      </c>
      <c r="AB21" s="18">
        <f t="shared" si="11"/>
        <v>0</v>
      </c>
      <c r="AC21" s="18">
        <f t="shared" si="11"/>
        <v>0</v>
      </c>
      <c r="AD21" s="18">
        <f t="shared" si="11"/>
        <v>0</v>
      </c>
      <c r="AE21" s="18">
        <f t="shared" si="11"/>
        <v>0</v>
      </c>
      <c r="AF21" s="18">
        <f t="shared" si="11"/>
        <v>0</v>
      </c>
      <c r="AG21" s="18">
        <f t="shared" si="11"/>
        <v>0</v>
      </c>
      <c r="AH21" s="18">
        <f t="shared" si="11"/>
        <v>0</v>
      </c>
      <c r="AI21" s="18">
        <f t="shared" si="11"/>
        <v>0</v>
      </c>
    </row>
    <row r="22" spans="1:35" x14ac:dyDescent="0.25">
      <c r="A22" t="s">
        <v>133</v>
      </c>
      <c r="B22" t="s">
        <v>73</v>
      </c>
      <c r="C22" t="s">
        <v>144</v>
      </c>
      <c r="D22" s="17">
        <v>110</v>
      </c>
      <c r="E22" s="17">
        <v>0</v>
      </c>
      <c r="F22" s="17">
        <f>G22/2</f>
        <v>11</v>
      </c>
      <c r="G22" s="17">
        <v>22</v>
      </c>
      <c r="H22" s="17">
        <f>G22+($L$22-$G$22)/5</f>
        <v>39.6</v>
      </c>
      <c r="I22" s="17">
        <f>H22+($L$22-$G$22)/5</f>
        <v>57.2</v>
      </c>
      <c r="J22" s="17">
        <f>I22+($L$22-$G$22)/5</f>
        <v>74.800000000000011</v>
      </c>
      <c r="K22" s="17">
        <f>J22+($L$22-$G$22)/5</f>
        <v>92.4</v>
      </c>
      <c r="L22" s="17">
        <v>110</v>
      </c>
      <c r="M22" s="17">
        <v>110</v>
      </c>
      <c r="N22" s="17">
        <v>110</v>
      </c>
      <c r="O22" s="17">
        <v>110</v>
      </c>
      <c r="P22" s="17">
        <v>110</v>
      </c>
      <c r="Q22" s="17">
        <v>110</v>
      </c>
      <c r="R22" s="17">
        <v>110</v>
      </c>
      <c r="S22" s="17">
        <v>110</v>
      </c>
      <c r="T22" s="17">
        <v>110</v>
      </c>
      <c r="U22" s="17">
        <v>110</v>
      </c>
      <c r="V22" s="17">
        <v>110</v>
      </c>
      <c r="W22" s="17">
        <v>110</v>
      </c>
      <c r="X22" s="17">
        <v>110</v>
      </c>
      <c r="Y22" s="17">
        <v>110</v>
      </c>
      <c r="Z22" s="17">
        <v>110</v>
      </c>
      <c r="AA22" s="17">
        <v>110</v>
      </c>
      <c r="AB22" s="17">
        <v>110</v>
      </c>
      <c r="AC22" s="17">
        <v>110</v>
      </c>
      <c r="AD22" s="17">
        <v>110</v>
      </c>
      <c r="AE22" s="17">
        <v>110</v>
      </c>
      <c r="AF22" s="17">
        <v>110</v>
      </c>
      <c r="AG22" s="17">
        <v>110</v>
      </c>
      <c r="AH22" s="17">
        <v>110</v>
      </c>
      <c r="AI22" s="17">
        <v>110</v>
      </c>
    </row>
    <row r="23" spans="1:35" x14ac:dyDescent="0.25">
      <c r="A23" t="s">
        <v>134</v>
      </c>
      <c r="B23" t="s">
        <v>233</v>
      </c>
      <c r="C23" t="s">
        <v>120</v>
      </c>
      <c r="D23" s="18">
        <f>NPV(0.05,F23:U23)</f>
        <v>22440201.692653466</v>
      </c>
      <c r="E23" s="18">
        <f>E22*E44</f>
        <v>0</v>
      </c>
      <c r="F23" s="18">
        <f t="shared" ref="F23:AI23" si="12">F22*F44</f>
        <v>220000</v>
      </c>
      <c r="G23" s="18">
        <f t="shared" si="12"/>
        <v>453200</v>
      </c>
      <c r="H23" s="18">
        <f t="shared" si="12"/>
        <v>840232.8</v>
      </c>
      <c r="I23" s="18">
        <f t="shared" si="12"/>
        <v>1250079.6880000001</v>
      </c>
      <c r="J23" s="18">
        <f t="shared" si="12"/>
        <v>1683761.1797600004</v>
      </c>
      <c r="K23" s="18">
        <f t="shared" si="12"/>
        <v>2142338.4893064001</v>
      </c>
      <c r="L23" s="18">
        <f t="shared" si="12"/>
        <v>2626915.0523637999</v>
      </c>
      <c r="M23" s="18">
        <f t="shared" si="12"/>
        <v>2705722.503934714</v>
      </c>
      <c r="N23" s="18">
        <f t="shared" si="12"/>
        <v>2786894.1790527552</v>
      </c>
      <c r="O23" s="18">
        <f t="shared" si="12"/>
        <v>2870501.0044243382</v>
      </c>
      <c r="P23" s="18">
        <f t="shared" si="12"/>
        <v>2956616.0345570683</v>
      </c>
      <c r="Q23" s="18">
        <f t="shared" si="12"/>
        <v>3045314.5155937807</v>
      </c>
      <c r="R23" s="18">
        <f t="shared" si="12"/>
        <v>3136673.9510615938</v>
      </c>
      <c r="S23" s="18">
        <f t="shared" si="12"/>
        <v>3230774.1695934418</v>
      </c>
      <c r="T23" s="18">
        <f t="shared" si="12"/>
        <v>3327697.3946812451</v>
      </c>
      <c r="U23" s="18">
        <f t="shared" si="12"/>
        <v>3427528.3165216828</v>
      </c>
      <c r="V23" s="18">
        <f t="shared" si="12"/>
        <v>3530354.1660173335</v>
      </c>
      <c r="W23" s="18">
        <f t="shared" si="12"/>
        <v>3636264.790997854</v>
      </c>
      <c r="X23" s="18">
        <f t="shared" si="12"/>
        <v>3745352.7347277896</v>
      </c>
      <c r="Y23" s="18">
        <f t="shared" si="12"/>
        <v>3857713.3167696237</v>
      </c>
      <c r="Z23" s="18">
        <f t="shared" si="12"/>
        <v>3973444.7162727132</v>
      </c>
      <c r="AA23" s="18">
        <f t="shared" si="12"/>
        <v>4092648.0577608948</v>
      </c>
      <c r="AB23" s="18">
        <f t="shared" si="12"/>
        <v>4215427.4994937219</v>
      </c>
      <c r="AC23" s="18">
        <f t="shared" si="12"/>
        <v>4341890.3244785341</v>
      </c>
      <c r="AD23" s="18">
        <f t="shared" si="12"/>
        <v>4472147.0342128901</v>
      </c>
      <c r="AE23" s="18">
        <f t="shared" si="12"/>
        <v>4606311.4452392776</v>
      </c>
      <c r="AF23" s="18">
        <f t="shared" si="12"/>
        <v>4744500.7885964559</v>
      </c>
      <c r="AG23" s="18">
        <f t="shared" si="12"/>
        <v>4886835.8122543497</v>
      </c>
      <c r="AH23" s="18">
        <f t="shared" si="12"/>
        <v>5033440.8866219791</v>
      </c>
      <c r="AI23" s="18">
        <f t="shared" si="12"/>
        <v>5184444.1132206386</v>
      </c>
    </row>
    <row r="24" spans="1:35" x14ac:dyDescent="0.25">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25">
      <c r="A25" s="2" t="s">
        <v>135</v>
      </c>
      <c r="B25" s="2" t="s">
        <v>128</v>
      </c>
      <c r="C25" s="2"/>
      <c r="D25" s="23">
        <f>NPV(0.05,F25:AI25)</f>
        <v>227869288.57010442</v>
      </c>
      <c r="E25" s="23">
        <f>SUM(E27,E29,E32)</f>
        <v>0</v>
      </c>
      <c r="F25" s="23">
        <f>SUM(F27,F29,F31,F32)</f>
        <v>10832265.691428572</v>
      </c>
      <c r="G25" s="23">
        <f t="shared" ref="G25:U25" si="13">SUM(G27,G29,G31,G32)</f>
        <v>10988229.641071428</v>
      </c>
      <c r="H25" s="23">
        <f t="shared" si="13"/>
        <v>11409713.195</v>
      </c>
      <c r="I25" s="23">
        <f t="shared" si="13"/>
        <v>12105526.361071428</v>
      </c>
      <c r="J25" s="23">
        <f t="shared" si="13"/>
        <v>13100573.938214285</v>
      </c>
      <c r="K25" s="23">
        <f t="shared" si="13"/>
        <v>14165176.203571428</v>
      </c>
      <c r="L25" s="23">
        <f t="shared" si="13"/>
        <v>15033510.5625</v>
      </c>
      <c r="M25" s="23">
        <f t="shared" si="13"/>
        <v>15187321.620000001</v>
      </c>
      <c r="N25" s="23">
        <f t="shared" si="13"/>
        <v>15346596.045</v>
      </c>
      <c r="O25" s="23">
        <f t="shared" si="13"/>
        <v>15511559.0075</v>
      </c>
      <c r="P25" s="23">
        <f t="shared" si="13"/>
        <v>15588533.0725</v>
      </c>
      <c r="Q25" s="23">
        <f t="shared" si="13"/>
        <v>15676833.68</v>
      </c>
      <c r="R25" s="23">
        <f t="shared" si="13"/>
        <v>15727217.939999999</v>
      </c>
      <c r="S25" s="23">
        <f t="shared" si="13"/>
        <v>15774596.914999999</v>
      </c>
      <c r="T25" s="23">
        <f t="shared" si="13"/>
        <v>15818710</v>
      </c>
      <c r="U25" s="23">
        <f t="shared" si="13"/>
        <v>15859212.524999999</v>
      </c>
      <c r="V25" s="23">
        <f t="shared" ref="V25:AI25" si="14">SUM(V27,V29,V31,V32)</f>
        <v>15895807.74</v>
      </c>
      <c r="W25" s="23">
        <f t="shared" si="14"/>
        <v>16079261.120000001</v>
      </c>
      <c r="X25" s="23">
        <f t="shared" si="14"/>
        <v>16269231.98</v>
      </c>
      <c r="Y25" s="23">
        <f t="shared" si="14"/>
        <v>16465931.960000001</v>
      </c>
      <c r="Z25" s="23">
        <f t="shared" si="14"/>
        <v>16669625.460000001</v>
      </c>
      <c r="AA25" s="23">
        <f t="shared" si="14"/>
        <v>16880562.600000001</v>
      </c>
      <c r="AB25" s="23">
        <f t="shared" si="14"/>
        <v>17098979.879999999</v>
      </c>
      <c r="AC25" s="23">
        <f t="shared" si="14"/>
        <v>17325166.559999999</v>
      </c>
      <c r="AD25" s="23">
        <f t="shared" si="14"/>
        <v>17559376.739999998</v>
      </c>
      <c r="AE25" s="23">
        <f t="shared" si="14"/>
        <v>17801918.16</v>
      </c>
      <c r="AF25" s="23">
        <f t="shared" si="14"/>
        <v>18053086.260000002</v>
      </c>
      <c r="AG25" s="23">
        <f t="shared" si="14"/>
        <v>18313186.380000003</v>
      </c>
      <c r="AH25" s="23">
        <f t="shared" si="14"/>
        <v>18582556.18</v>
      </c>
      <c r="AI25" s="23">
        <f t="shared" si="14"/>
        <v>18861500.140000001</v>
      </c>
    </row>
    <row r="26" spans="1:35" ht="45" x14ac:dyDescent="0.25">
      <c r="A26" t="s">
        <v>136</v>
      </c>
      <c r="B26" s="1" t="s">
        <v>142</v>
      </c>
      <c r="C26" s="1" t="s">
        <v>144</v>
      </c>
      <c r="D26" s="17">
        <v>325</v>
      </c>
      <c r="E26" s="17"/>
      <c r="F26" s="17">
        <v>40</v>
      </c>
      <c r="G26" s="17">
        <v>75</v>
      </c>
      <c r="H26" s="17">
        <f>G26+50</f>
        <v>125</v>
      </c>
      <c r="I26" s="17">
        <f t="shared" ref="I26:L26" si="15">H26+50</f>
        <v>175</v>
      </c>
      <c r="J26" s="17">
        <f t="shared" si="15"/>
        <v>225</v>
      </c>
      <c r="K26" s="17">
        <f t="shared" si="15"/>
        <v>275</v>
      </c>
      <c r="L26" s="17">
        <f t="shared" si="15"/>
        <v>325</v>
      </c>
      <c r="M26" s="17">
        <v>325</v>
      </c>
      <c r="N26" s="17">
        <v>325</v>
      </c>
      <c r="O26" s="17">
        <v>325</v>
      </c>
      <c r="P26" s="17">
        <f>$O$26-F26</f>
        <v>285</v>
      </c>
      <c r="Q26" s="17">
        <f t="shared" ref="Q26:U26" si="16">$O$26-G26</f>
        <v>250</v>
      </c>
      <c r="R26" s="17">
        <f t="shared" si="16"/>
        <v>200</v>
      </c>
      <c r="S26" s="17">
        <f t="shared" si="16"/>
        <v>150</v>
      </c>
      <c r="T26" s="17">
        <f t="shared" si="16"/>
        <v>100</v>
      </c>
      <c r="U26" s="17">
        <f t="shared" si="16"/>
        <v>50</v>
      </c>
      <c r="V26" s="17">
        <v>0</v>
      </c>
      <c r="W26" s="17">
        <v>0</v>
      </c>
      <c r="X26" s="17">
        <v>0</v>
      </c>
      <c r="Y26" s="17">
        <v>0</v>
      </c>
      <c r="Z26" s="17">
        <v>0</v>
      </c>
      <c r="AA26" s="17">
        <v>0</v>
      </c>
      <c r="AB26" s="17">
        <v>0</v>
      </c>
      <c r="AC26" s="17">
        <v>0</v>
      </c>
      <c r="AD26" s="17">
        <v>0</v>
      </c>
      <c r="AE26" s="17">
        <v>0</v>
      </c>
      <c r="AF26" s="17">
        <v>0</v>
      </c>
      <c r="AG26" s="17">
        <v>0</v>
      </c>
      <c r="AH26" s="17">
        <v>0</v>
      </c>
      <c r="AI26" s="17">
        <v>0</v>
      </c>
    </row>
    <row r="27" spans="1:35" x14ac:dyDescent="0.25">
      <c r="A27" t="s">
        <v>140</v>
      </c>
      <c r="B27" s="1" t="s">
        <v>291</v>
      </c>
      <c r="C27" s="1" t="s">
        <v>120</v>
      </c>
      <c r="D27" s="18">
        <f>NPV(0.05,F27:U27)</f>
        <v>4598084.2881755913</v>
      </c>
      <c r="E27" s="18"/>
      <c r="F27" s="18">
        <f>F26*F39</f>
        <v>66464.52</v>
      </c>
      <c r="G27" s="18">
        <f t="shared" ref="G27:U27" si="17">G26*G39</f>
        <v>128240.21249999998</v>
      </c>
      <c r="H27" s="18">
        <f t="shared" si="17"/>
        <v>219682.875</v>
      </c>
      <c r="I27" s="18">
        <f t="shared" si="17"/>
        <v>318873.71249999997</v>
      </c>
      <c r="J27" s="18">
        <f t="shared" si="17"/>
        <v>425067.41249999998</v>
      </c>
      <c r="K27" s="18">
        <f t="shared" si="17"/>
        <v>538644.97499999998</v>
      </c>
      <c r="L27" s="18">
        <f t="shared" si="17"/>
        <v>660006.26249999995</v>
      </c>
      <c r="M27" s="18">
        <f t="shared" si="17"/>
        <v>684294</v>
      </c>
      <c r="N27" s="18">
        <f t="shared" si="17"/>
        <v>709475.32499999995</v>
      </c>
      <c r="O27" s="18">
        <f t="shared" si="17"/>
        <v>735583.38749999995</v>
      </c>
      <c r="P27" s="18">
        <f t="shared" si="17"/>
        <v>668787.41249999998</v>
      </c>
      <c r="Q27" s="18">
        <f t="shared" si="17"/>
        <v>608244</v>
      </c>
      <c r="R27" s="18">
        <f t="shared" si="17"/>
        <v>504501.3</v>
      </c>
      <c r="S27" s="18">
        <f t="shared" si="17"/>
        <v>392299.875</v>
      </c>
      <c r="T27" s="18">
        <f t="shared" si="17"/>
        <v>271157.40000000002</v>
      </c>
      <c r="U27" s="18">
        <f t="shared" si="17"/>
        <v>140567.92499999999</v>
      </c>
      <c r="V27" s="18">
        <f t="shared" ref="V27:AI27" si="18">V26*V39</f>
        <v>0</v>
      </c>
      <c r="W27" s="18">
        <f t="shared" si="18"/>
        <v>0</v>
      </c>
      <c r="X27" s="18">
        <f t="shared" si="18"/>
        <v>0</v>
      </c>
      <c r="Y27" s="18">
        <f t="shared" si="18"/>
        <v>0</v>
      </c>
      <c r="Z27" s="18">
        <f t="shared" si="18"/>
        <v>0</v>
      </c>
      <c r="AA27" s="18">
        <f t="shared" si="18"/>
        <v>0</v>
      </c>
      <c r="AB27" s="18">
        <f t="shared" si="18"/>
        <v>0</v>
      </c>
      <c r="AC27" s="18">
        <f t="shared" si="18"/>
        <v>0</v>
      </c>
      <c r="AD27" s="18">
        <f t="shared" si="18"/>
        <v>0</v>
      </c>
      <c r="AE27" s="18">
        <f t="shared" si="18"/>
        <v>0</v>
      </c>
      <c r="AF27" s="18">
        <f t="shared" si="18"/>
        <v>0</v>
      </c>
      <c r="AG27" s="18">
        <f t="shared" si="18"/>
        <v>0</v>
      </c>
      <c r="AH27" s="18">
        <f t="shared" si="18"/>
        <v>0</v>
      </c>
      <c r="AI27" s="18">
        <f t="shared" si="18"/>
        <v>0</v>
      </c>
    </row>
    <row r="28" spans="1:35" x14ac:dyDescent="0.25">
      <c r="A28" t="s">
        <v>137</v>
      </c>
      <c r="B28" t="s">
        <v>143</v>
      </c>
      <c r="C28" t="s">
        <v>144</v>
      </c>
      <c r="D28" s="18">
        <f>SUM(F28:U28)</f>
        <v>28860</v>
      </c>
      <c r="E28" s="18"/>
      <c r="F28" s="18">
        <f>$F$18*3</f>
        <v>317.14285714285711</v>
      </c>
      <c r="G28" s="18">
        <f>$F$18*3*2</f>
        <v>634.28571428571422</v>
      </c>
      <c r="H28" s="18">
        <f>$F$18*3*3</f>
        <v>951.42857142857133</v>
      </c>
      <c r="I28" s="18">
        <f>$F$18*3*4</f>
        <v>1268.5714285714284</v>
      </c>
      <c r="J28" s="18">
        <f>$F$18*3*5</f>
        <v>1585.7142857142856</v>
      </c>
      <c r="K28" s="18">
        <f>$F$18*3*6</f>
        <v>1902.8571428571427</v>
      </c>
      <c r="L28" s="18">
        <f>$F$18*3*7</f>
        <v>2220</v>
      </c>
      <c r="M28" s="18">
        <f>L28</f>
        <v>2220</v>
      </c>
      <c r="N28" s="18">
        <f t="shared" ref="N28:O28" si="19">M28</f>
        <v>2220</v>
      </c>
      <c r="O28" s="18">
        <f t="shared" si="19"/>
        <v>2220</v>
      </c>
      <c r="P28" s="18">
        <v>2220</v>
      </c>
      <c r="Q28" s="18">
        <v>2220</v>
      </c>
      <c r="R28" s="18">
        <v>2220</v>
      </c>
      <c r="S28" s="18">
        <v>2220</v>
      </c>
      <c r="T28" s="18">
        <v>2220</v>
      </c>
      <c r="U28" s="18">
        <v>2220</v>
      </c>
      <c r="V28" s="18">
        <v>2220</v>
      </c>
      <c r="W28" s="18">
        <v>2220</v>
      </c>
      <c r="X28" s="18">
        <v>2220</v>
      </c>
      <c r="Y28" s="18">
        <v>2220</v>
      </c>
      <c r="Z28" s="18">
        <v>2220</v>
      </c>
      <c r="AA28" s="18">
        <v>2220</v>
      </c>
      <c r="AB28" s="18">
        <v>2220</v>
      </c>
      <c r="AC28" s="18">
        <v>2220</v>
      </c>
      <c r="AD28" s="18">
        <v>2220</v>
      </c>
      <c r="AE28" s="18">
        <v>2220</v>
      </c>
      <c r="AF28" s="18">
        <v>2220</v>
      </c>
      <c r="AG28" s="18">
        <v>2220</v>
      </c>
      <c r="AH28" s="18">
        <v>2220</v>
      </c>
      <c r="AI28" s="18">
        <v>2220</v>
      </c>
    </row>
    <row r="29" spans="1:35" x14ac:dyDescent="0.25">
      <c r="A29" t="s">
        <v>139</v>
      </c>
      <c r="B29" t="s">
        <v>292</v>
      </c>
      <c r="C29" t="s">
        <v>120</v>
      </c>
      <c r="D29" s="18">
        <f>NPV(0.05,F29:U29)</f>
        <v>6406922.0716811344</v>
      </c>
      <c r="E29" s="18"/>
      <c r="F29" s="18">
        <f>F28*F40</f>
        <v>90801.171428571426</v>
      </c>
      <c r="G29" s="18">
        <f t="shared" ref="G29:U29" si="20">G28*G40</f>
        <v>184989.42857142855</v>
      </c>
      <c r="H29" s="18">
        <f t="shared" si="20"/>
        <v>281784.59999999998</v>
      </c>
      <c r="I29" s="18">
        <f t="shared" si="20"/>
        <v>386165.82857142854</v>
      </c>
      <c r="J29" s="18">
        <f t="shared" si="20"/>
        <v>496138.28571428568</v>
      </c>
      <c r="K29" s="18">
        <f t="shared" si="20"/>
        <v>611939.82857142843</v>
      </c>
      <c r="L29" s="18">
        <f t="shared" si="20"/>
        <v>733776.6</v>
      </c>
      <c r="M29" s="18">
        <f t="shared" si="20"/>
        <v>754200.60000000009</v>
      </c>
      <c r="N29" s="18">
        <f t="shared" si="20"/>
        <v>775179.6</v>
      </c>
      <c r="O29" s="18">
        <f t="shared" si="20"/>
        <v>796758</v>
      </c>
      <c r="P29" s="18">
        <f t="shared" si="20"/>
        <v>818935.79999999993</v>
      </c>
      <c r="Q29" s="18">
        <f t="shared" si="20"/>
        <v>841713</v>
      </c>
      <c r="R29" s="18">
        <f t="shared" si="20"/>
        <v>865134</v>
      </c>
      <c r="S29" s="18">
        <f t="shared" si="20"/>
        <v>889198.8</v>
      </c>
      <c r="T29" s="18">
        <f t="shared" si="20"/>
        <v>913951.8</v>
      </c>
      <c r="U29" s="18">
        <f t="shared" si="20"/>
        <v>939370.79999999993</v>
      </c>
      <c r="V29" s="18">
        <f t="shared" ref="V29:AI29" si="21">V28*V40</f>
        <v>965500.20000000007</v>
      </c>
      <c r="W29" s="18">
        <f t="shared" si="21"/>
        <v>992362.2</v>
      </c>
      <c r="X29" s="18">
        <f t="shared" si="21"/>
        <v>1019979</v>
      </c>
      <c r="Y29" s="18">
        <f t="shared" si="21"/>
        <v>1048350.6000000001</v>
      </c>
      <c r="Z29" s="18">
        <f t="shared" si="21"/>
        <v>1077521.3999999999</v>
      </c>
      <c r="AA29" s="18">
        <f t="shared" si="21"/>
        <v>1107513.6000000001</v>
      </c>
      <c r="AB29" s="18">
        <f t="shared" si="21"/>
        <v>1138327.2</v>
      </c>
      <c r="AC29" s="18">
        <f t="shared" si="21"/>
        <v>1170006.5999999999</v>
      </c>
      <c r="AD29" s="18">
        <f t="shared" si="21"/>
        <v>1202551.8</v>
      </c>
      <c r="AE29" s="18">
        <f t="shared" si="21"/>
        <v>1236007.2</v>
      </c>
      <c r="AF29" s="18">
        <f t="shared" si="21"/>
        <v>1270395</v>
      </c>
      <c r="AG29" s="18">
        <f t="shared" si="21"/>
        <v>1305737.3999999999</v>
      </c>
      <c r="AH29" s="18">
        <f t="shared" si="21"/>
        <v>1342078.7999999998</v>
      </c>
      <c r="AI29" s="18">
        <f t="shared" si="21"/>
        <v>1379419.2</v>
      </c>
    </row>
    <row r="30" spans="1:35" x14ac:dyDescent="0.25">
      <c r="A30" t="s">
        <v>138</v>
      </c>
      <c r="B30" t="s">
        <v>288</v>
      </c>
      <c r="C30" t="s">
        <v>144</v>
      </c>
      <c r="D30" s="17">
        <v>22</v>
      </c>
      <c r="E30" s="17"/>
      <c r="F30" s="17">
        <v>0</v>
      </c>
      <c r="G30" s="17">
        <v>0</v>
      </c>
      <c r="H30" s="17">
        <v>2</v>
      </c>
      <c r="I30" s="17">
        <v>6</v>
      </c>
      <c r="J30" s="17">
        <v>12</v>
      </c>
      <c r="K30" s="17">
        <v>18</v>
      </c>
      <c r="L30" s="17">
        <v>22</v>
      </c>
      <c r="M30" s="17">
        <v>22</v>
      </c>
      <c r="N30" s="17">
        <v>22</v>
      </c>
      <c r="O30" s="17">
        <v>22</v>
      </c>
      <c r="P30" s="17">
        <v>22</v>
      </c>
      <c r="Q30" s="17">
        <v>22</v>
      </c>
      <c r="R30" s="17">
        <f>Q30</f>
        <v>22</v>
      </c>
      <c r="S30" s="17">
        <f t="shared" ref="S30:AI30" si="22">R30</f>
        <v>22</v>
      </c>
      <c r="T30" s="17">
        <f t="shared" si="22"/>
        <v>22</v>
      </c>
      <c r="U30" s="17">
        <f t="shared" si="22"/>
        <v>22</v>
      </c>
      <c r="V30" s="17">
        <f t="shared" si="22"/>
        <v>22</v>
      </c>
      <c r="W30" s="17">
        <f t="shared" si="22"/>
        <v>22</v>
      </c>
      <c r="X30" s="17">
        <f t="shared" si="22"/>
        <v>22</v>
      </c>
      <c r="Y30" s="17">
        <f t="shared" si="22"/>
        <v>22</v>
      </c>
      <c r="Z30" s="17">
        <f t="shared" si="22"/>
        <v>22</v>
      </c>
      <c r="AA30" s="17">
        <f t="shared" si="22"/>
        <v>22</v>
      </c>
      <c r="AB30" s="17">
        <f t="shared" si="22"/>
        <v>22</v>
      </c>
      <c r="AC30" s="17">
        <f t="shared" si="22"/>
        <v>22</v>
      </c>
      <c r="AD30" s="17">
        <f t="shared" si="22"/>
        <v>22</v>
      </c>
      <c r="AE30" s="17">
        <f t="shared" si="22"/>
        <v>22</v>
      </c>
      <c r="AF30" s="17">
        <f t="shared" si="22"/>
        <v>22</v>
      </c>
      <c r="AG30" s="17">
        <f t="shared" si="22"/>
        <v>22</v>
      </c>
      <c r="AH30" s="17">
        <f t="shared" si="22"/>
        <v>22</v>
      </c>
      <c r="AI30" s="17">
        <f t="shared" si="22"/>
        <v>22</v>
      </c>
    </row>
    <row r="31" spans="1:35" x14ac:dyDescent="0.25">
      <c r="A31" t="s">
        <v>141</v>
      </c>
      <c r="B31" t="s">
        <v>293</v>
      </c>
      <c r="C31" t="s">
        <v>120</v>
      </c>
      <c r="D31" s="18">
        <f>NPV(0.05,F31:U31)</f>
        <v>23639733.586955886</v>
      </c>
      <c r="E31" s="18"/>
      <c r="F31" s="18">
        <f>F30*F41</f>
        <v>0</v>
      </c>
      <c r="G31" s="18">
        <f t="shared" ref="G31:U31" si="23">G30*G41</f>
        <v>0</v>
      </c>
      <c r="H31" s="18">
        <f t="shared" si="23"/>
        <v>233245.72</v>
      </c>
      <c r="I31" s="18">
        <f t="shared" si="23"/>
        <v>725486.82000000007</v>
      </c>
      <c r="J31" s="18">
        <f t="shared" si="23"/>
        <v>1504368.24</v>
      </c>
      <c r="K31" s="18">
        <f t="shared" si="23"/>
        <v>2339591.4</v>
      </c>
      <c r="L31" s="18">
        <f t="shared" si="23"/>
        <v>2964727.7</v>
      </c>
      <c r="M31" s="18">
        <f t="shared" si="23"/>
        <v>3073827.02</v>
      </c>
      <c r="N31" s="18">
        <f t="shared" si="23"/>
        <v>3186941.1199999996</v>
      </c>
      <c r="O31" s="18">
        <f t="shared" si="23"/>
        <v>3304217.6199999996</v>
      </c>
      <c r="P31" s="18">
        <f t="shared" si="23"/>
        <v>3425809.8600000003</v>
      </c>
      <c r="Q31" s="18">
        <f t="shared" si="23"/>
        <v>3551876.68</v>
      </c>
      <c r="R31" s="18">
        <f t="shared" si="23"/>
        <v>3682582.6399999997</v>
      </c>
      <c r="S31" s="18">
        <f t="shared" si="23"/>
        <v>3818098.24</v>
      </c>
      <c r="T31" s="18">
        <f t="shared" si="23"/>
        <v>3958600.8</v>
      </c>
      <c r="U31" s="18">
        <f t="shared" si="23"/>
        <v>4104273.8</v>
      </c>
      <c r="V31" s="18">
        <f t="shared" ref="V31:AI31" si="24">V30*V41</f>
        <v>4255307.54</v>
      </c>
      <c r="W31" s="18">
        <f t="shared" si="24"/>
        <v>4411898.92</v>
      </c>
      <c r="X31" s="18">
        <f t="shared" si="24"/>
        <v>4574252.9799999995</v>
      </c>
      <c r="Y31" s="18">
        <f t="shared" si="24"/>
        <v>4742581.3600000003</v>
      </c>
      <c r="Z31" s="18">
        <f t="shared" si="24"/>
        <v>4917104.0600000005</v>
      </c>
      <c r="AA31" s="18">
        <f t="shared" si="24"/>
        <v>5098049</v>
      </c>
      <c r="AB31" s="18">
        <f t="shared" si="24"/>
        <v>5285652.68</v>
      </c>
      <c r="AC31" s="18">
        <f t="shared" si="24"/>
        <v>5480159.96</v>
      </c>
      <c r="AD31" s="18">
        <f t="shared" si="24"/>
        <v>5681824.9399999995</v>
      </c>
      <c r="AE31" s="18">
        <f t="shared" si="24"/>
        <v>5890910.96</v>
      </c>
      <c r="AF31" s="18">
        <f t="shared" si="24"/>
        <v>6107691.2600000007</v>
      </c>
      <c r="AG31" s="18">
        <f t="shared" si="24"/>
        <v>6332448.9800000004</v>
      </c>
      <c r="AH31" s="18">
        <f t="shared" si="24"/>
        <v>6565477.3799999999</v>
      </c>
      <c r="AI31" s="18">
        <f t="shared" si="24"/>
        <v>6807080.9400000004</v>
      </c>
    </row>
    <row r="32" spans="1:35" x14ac:dyDescent="0.25">
      <c r="A32" t="s">
        <v>145</v>
      </c>
      <c r="B32" t="s">
        <v>294</v>
      </c>
      <c r="C32" t="s">
        <v>120</v>
      </c>
      <c r="D32" s="18">
        <f>NPV(0.05,F32:U32)</f>
        <v>115693190.054836</v>
      </c>
      <c r="E32" s="18"/>
      <c r="F32" s="18">
        <f>F45</f>
        <v>10675000</v>
      </c>
      <c r="G32" s="18">
        <f t="shared" ref="G32:AI32" si="25">G45</f>
        <v>10675000</v>
      </c>
      <c r="H32" s="18">
        <f t="shared" si="25"/>
        <v>10675000</v>
      </c>
      <c r="I32" s="18">
        <f t="shared" si="25"/>
        <v>10675000</v>
      </c>
      <c r="J32" s="18">
        <f t="shared" si="25"/>
        <v>10675000</v>
      </c>
      <c r="K32" s="18">
        <f t="shared" si="25"/>
        <v>10675000</v>
      </c>
      <c r="L32" s="18">
        <f t="shared" si="25"/>
        <v>10675000</v>
      </c>
      <c r="M32" s="18">
        <f t="shared" si="25"/>
        <v>10675000</v>
      </c>
      <c r="N32" s="18">
        <f t="shared" si="25"/>
        <v>10675000</v>
      </c>
      <c r="O32" s="18">
        <f t="shared" si="25"/>
        <v>10675000</v>
      </c>
      <c r="P32" s="18">
        <f t="shared" si="25"/>
        <v>10675000</v>
      </c>
      <c r="Q32" s="18">
        <f t="shared" si="25"/>
        <v>10675000</v>
      </c>
      <c r="R32" s="18">
        <f t="shared" si="25"/>
        <v>10675000</v>
      </c>
      <c r="S32" s="18">
        <f t="shared" si="25"/>
        <v>10675000</v>
      </c>
      <c r="T32" s="18">
        <f t="shared" si="25"/>
        <v>10675000</v>
      </c>
      <c r="U32" s="18">
        <f t="shared" si="25"/>
        <v>10675000</v>
      </c>
      <c r="V32" s="18">
        <f t="shared" si="25"/>
        <v>10675000</v>
      </c>
      <c r="W32" s="18">
        <f t="shared" si="25"/>
        <v>10675000</v>
      </c>
      <c r="X32" s="18">
        <f t="shared" si="25"/>
        <v>10675000</v>
      </c>
      <c r="Y32" s="18">
        <f t="shared" si="25"/>
        <v>10675000</v>
      </c>
      <c r="Z32" s="18">
        <f t="shared" si="25"/>
        <v>10675000</v>
      </c>
      <c r="AA32" s="18">
        <f t="shared" si="25"/>
        <v>10675000</v>
      </c>
      <c r="AB32" s="18">
        <f t="shared" si="25"/>
        <v>10675000</v>
      </c>
      <c r="AC32" s="18">
        <f t="shared" si="25"/>
        <v>10675000</v>
      </c>
      <c r="AD32" s="18">
        <f t="shared" si="25"/>
        <v>10675000</v>
      </c>
      <c r="AE32" s="18">
        <f t="shared" si="25"/>
        <v>10675000</v>
      </c>
      <c r="AF32" s="18">
        <f t="shared" si="25"/>
        <v>10675000</v>
      </c>
      <c r="AG32" s="18">
        <f t="shared" si="25"/>
        <v>10675000</v>
      </c>
      <c r="AH32" s="18">
        <f t="shared" si="25"/>
        <v>10675000</v>
      </c>
      <c r="AI32" s="18">
        <f t="shared" si="25"/>
        <v>10675000</v>
      </c>
    </row>
    <row r="33" spans="1:35" x14ac:dyDescent="0.2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25">
      <c r="A34" s="2" t="s">
        <v>147</v>
      </c>
      <c r="B34" s="2" t="s">
        <v>6</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25">
      <c r="A35" t="s">
        <v>148</v>
      </c>
      <c r="B35" t="s">
        <v>7</v>
      </c>
      <c r="C35" t="s">
        <v>120</v>
      </c>
      <c r="D35" s="19"/>
      <c r="E35" s="17">
        <v>8147.13</v>
      </c>
      <c r="F35" s="17">
        <v>8454.23</v>
      </c>
      <c r="G35" s="17">
        <v>8699.75</v>
      </c>
      <c r="H35" s="17">
        <v>8941.91</v>
      </c>
      <c r="I35" s="17">
        <v>9270.9599999999991</v>
      </c>
      <c r="J35" s="17">
        <v>9612.1200000000008</v>
      </c>
      <c r="K35" s="17">
        <v>9965.84</v>
      </c>
      <c r="L35" s="17">
        <v>10332.58</v>
      </c>
      <c r="M35" s="17">
        <v>10712.8</v>
      </c>
      <c r="N35" s="17">
        <v>11107.03</v>
      </c>
      <c r="O35" s="17">
        <v>11515.75</v>
      </c>
      <c r="P35" s="17">
        <v>11939.52</v>
      </c>
      <c r="Q35" s="17">
        <v>12378.89</v>
      </c>
      <c r="R35" s="17">
        <v>12834.42</v>
      </c>
      <c r="S35" s="17">
        <v>13306.72</v>
      </c>
      <c r="T35" s="17">
        <v>13796.39</v>
      </c>
      <c r="U35" s="17">
        <v>14304.09</v>
      </c>
      <c r="V35" s="17">
        <v>14830.46</v>
      </c>
      <c r="W35" s="17">
        <v>15376.21</v>
      </c>
      <c r="X35" s="17">
        <v>15942.04</v>
      </c>
      <c r="Y35" s="17">
        <v>16528.689999999999</v>
      </c>
      <c r="Z35" s="17">
        <v>17136.939999999999</v>
      </c>
      <c r="AA35" s="17">
        <v>17767.560000000001</v>
      </c>
      <c r="AB35" s="17">
        <v>18421.39</v>
      </c>
      <c r="AC35" s="17">
        <v>19099.28</v>
      </c>
      <c r="AD35" s="17">
        <v>19802.12</v>
      </c>
      <c r="AE35" s="17">
        <v>20530.82</v>
      </c>
      <c r="AF35" s="17">
        <v>21286.33</v>
      </c>
      <c r="AG35" s="17">
        <v>22069.65</v>
      </c>
      <c r="AH35" s="17">
        <v>22881.79</v>
      </c>
      <c r="AI35" s="17">
        <v>23723.82</v>
      </c>
    </row>
    <row r="36" spans="1:35" x14ac:dyDescent="0.25">
      <c r="A36" t="s">
        <v>149</v>
      </c>
      <c r="B36" t="s">
        <v>8</v>
      </c>
      <c r="C36" t="s">
        <v>120</v>
      </c>
      <c r="D36" s="19"/>
      <c r="E36" s="17">
        <v>76964.649999999994</v>
      </c>
      <c r="F36" s="17">
        <v>78792.179999999993</v>
      </c>
      <c r="G36" s="17">
        <v>80260.03</v>
      </c>
      <c r="H36" s="17">
        <v>81505</v>
      </c>
      <c r="I36" s="17">
        <v>83772.75</v>
      </c>
      <c r="J36" s="17">
        <v>86103.6</v>
      </c>
      <c r="K36" s="17">
        <v>88499.3</v>
      </c>
      <c r="L36" s="17">
        <v>90961.66</v>
      </c>
      <c r="M36" s="17">
        <v>93492.53</v>
      </c>
      <c r="N36" s="17">
        <v>96093.82</v>
      </c>
      <c r="O36" s="17">
        <v>98767.49</v>
      </c>
      <c r="P36" s="17">
        <v>101515.55</v>
      </c>
      <c r="Q36" s="17">
        <v>104340.06</v>
      </c>
      <c r="R36" s="17">
        <v>107243.17</v>
      </c>
      <c r="S36" s="17">
        <v>110227.05</v>
      </c>
      <c r="T36" s="17">
        <v>113293.95</v>
      </c>
      <c r="U36" s="17">
        <v>116446.18</v>
      </c>
      <c r="V36" s="17">
        <v>119686.12</v>
      </c>
      <c r="W36" s="17">
        <v>123016.21</v>
      </c>
      <c r="X36" s="17">
        <v>126438.95</v>
      </c>
      <c r="Y36" s="17">
        <v>129956.93</v>
      </c>
      <c r="Z36" s="17">
        <v>133572.78</v>
      </c>
      <c r="AA36" s="17">
        <v>137289.24</v>
      </c>
      <c r="AB36" s="17">
        <v>141109.10999999999</v>
      </c>
      <c r="AC36" s="17">
        <v>145035.26</v>
      </c>
      <c r="AD36" s="17">
        <v>149070.65</v>
      </c>
      <c r="AE36" s="17">
        <v>153218.31</v>
      </c>
      <c r="AF36" s="17">
        <v>157481.38</v>
      </c>
      <c r="AG36" s="17">
        <v>161863.06</v>
      </c>
      <c r="AH36" s="17">
        <v>166366.66</v>
      </c>
      <c r="AI36" s="17">
        <v>170995.56</v>
      </c>
    </row>
    <row r="37" spans="1:35" x14ac:dyDescent="0.25">
      <c r="A37" t="s">
        <v>150</v>
      </c>
      <c r="B37" t="s">
        <v>43</v>
      </c>
      <c r="C37" t="s">
        <v>120</v>
      </c>
      <c r="D37" s="19"/>
      <c r="E37" s="17">
        <v>113774.09</v>
      </c>
      <c r="F37" s="17">
        <v>116475.68</v>
      </c>
      <c r="G37" s="17">
        <v>118645.55</v>
      </c>
      <c r="H37" s="17">
        <v>120485.93</v>
      </c>
      <c r="I37" s="17">
        <v>123838.27</v>
      </c>
      <c r="J37" s="17">
        <v>127283.88</v>
      </c>
      <c r="K37" s="17">
        <v>130825.37</v>
      </c>
      <c r="L37" s="17">
        <v>134465.39000000001</v>
      </c>
      <c r="M37" s="17">
        <v>138206.68</v>
      </c>
      <c r="N37" s="17">
        <v>142052.07999999999</v>
      </c>
      <c r="O37" s="17">
        <v>146004.46</v>
      </c>
      <c r="P37" s="17">
        <v>150066.82</v>
      </c>
      <c r="Q37" s="17">
        <v>154242.20000000001</v>
      </c>
      <c r="R37" s="17">
        <v>158533.76000000001</v>
      </c>
      <c r="S37" s="17">
        <v>162944.72</v>
      </c>
      <c r="T37" s="17">
        <v>167478.41</v>
      </c>
      <c r="U37" s="17">
        <v>172138.25</v>
      </c>
      <c r="V37" s="17">
        <v>176927.73</v>
      </c>
      <c r="W37" s="17">
        <v>181850.48</v>
      </c>
      <c r="X37" s="17">
        <v>186910.2</v>
      </c>
      <c r="Y37" s="17">
        <v>192110.69</v>
      </c>
      <c r="Z37" s="17">
        <v>197455.88</v>
      </c>
      <c r="AA37" s="17">
        <v>202949.8</v>
      </c>
      <c r="AB37" s="17">
        <v>208596.57</v>
      </c>
      <c r="AC37" s="17">
        <v>214400.45</v>
      </c>
      <c r="AD37" s="17">
        <v>220365.82</v>
      </c>
      <c r="AE37" s="17">
        <v>226497.17</v>
      </c>
      <c r="AF37" s="17">
        <v>232799.11</v>
      </c>
      <c r="AG37" s="17">
        <v>239276.4</v>
      </c>
      <c r="AH37" s="17">
        <v>245933.91</v>
      </c>
      <c r="AI37" s="17">
        <v>252776.65</v>
      </c>
    </row>
    <row r="38" spans="1:35" x14ac:dyDescent="0.25">
      <c r="A38" t="s">
        <v>151</v>
      </c>
      <c r="B38" t="s">
        <v>44</v>
      </c>
      <c r="C38" t="s">
        <v>120</v>
      </c>
      <c r="D38" s="19"/>
      <c r="E38" s="17">
        <v>10675.04</v>
      </c>
      <c r="F38" s="17">
        <v>11077.42</v>
      </c>
      <c r="G38" s="17">
        <v>11399.13</v>
      </c>
      <c r="H38" s="17">
        <v>11716.42</v>
      </c>
      <c r="I38" s="17">
        <v>12147.57</v>
      </c>
      <c r="J38" s="17">
        <v>12594.59</v>
      </c>
      <c r="K38" s="17">
        <v>13058.06</v>
      </c>
      <c r="L38" s="17">
        <v>13538.59</v>
      </c>
      <c r="M38" s="17">
        <v>14036.8</v>
      </c>
      <c r="N38" s="17">
        <v>14553.34</v>
      </c>
      <c r="O38" s="17">
        <v>15088.89</v>
      </c>
      <c r="P38" s="17">
        <v>15644.15</v>
      </c>
      <c r="Q38" s="17">
        <v>16219.84</v>
      </c>
      <c r="R38" s="17">
        <v>16816.71</v>
      </c>
      <c r="S38" s="17">
        <v>17435.55</v>
      </c>
      <c r="T38" s="17">
        <v>18077.16</v>
      </c>
      <c r="U38" s="17">
        <v>18742.39</v>
      </c>
      <c r="V38" s="17">
        <v>19432.09</v>
      </c>
      <c r="W38" s="17">
        <v>20147.169999999998</v>
      </c>
      <c r="X38" s="17">
        <v>20888.57</v>
      </c>
      <c r="Y38" s="17">
        <v>21657.25</v>
      </c>
      <c r="Z38" s="17">
        <v>22454.22</v>
      </c>
      <c r="AA38" s="17">
        <v>23280.52</v>
      </c>
      <c r="AB38" s="17">
        <v>24137.22</v>
      </c>
      <c r="AC38" s="17">
        <v>25025.45</v>
      </c>
      <c r="AD38" s="17">
        <v>25946.36</v>
      </c>
      <c r="AE38" s="17">
        <v>26901.16</v>
      </c>
      <c r="AF38" s="17">
        <v>27891.1</v>
      </c>
      <c r="AG38" s="17">
        <v>28917.47</v>
      </c>
      <c r="AH38" s="17">
        <v>29981.61</v>
      </c>
      <c r="AI38" s="17">
        <v>31084.9</v>
      </c>
    </row>
    <row r="39" spans="1:35" x14ac:dyDescent="0.25">
      <c r="A39" t="s">
        <v>152</v>
      </c>
      <c r="B39" t="s">
        <v>45</v>
      </c>
      <c r="C39" t="s">
        <v>120</v>
      </c>
      <c r="D39" s="19"/>
      <c r="E39" s="17">
        <f>E38*0.15</f>
        <v>1601.2560000000001</v>
      </c>
      <c r="F39" s="17">
        <f t="shared" ref="F39:AI39" si="26">F38*0.15</f>
        <v>1661.6130000000001</v>
      </c>
      <c r="G39" s="17">
        <f t="shared" si="26"/>
        <v>1709.8694999999998</v>
      </c>
      <c r="H39" s="17">
        <f t="shared" si="26"/>
        <v>1757.463</v>
      </c>
      <c r="I39" s="17">
        <f t="shared" si="26"/>
        <v>1822.1354999999999</v>
      </c>
      <c r="J39" s="17">
        <f t="shared" si="26"/>
        <v>1889.1885</v>
      </c>
      <c r="K39" s="17">
        <f t="shared" si="26"/>
        <v>1958.7089999999998</v>
      </c>
      <c r="L39" s="17">
        <f t="shared" si="26"/>
        <v>2030.7884999999999</v>
      </c>
      <c r="M39" s="17">
        <f t="shared" si="26"/>
        <v>2105.52</v>
      </c>
      <c r="N39" s="17">
        <f t="shared" si="26"/>
        <v>2183.0009999999997</v>
      </c>
      <c r="O39" s="17">
        <f t="shared" si="26"/>
        <v>2263.3334999999997</v>
      </c>
      <c r="P39" s="17">
        <f t="shared" si="26"/>
        <v>2346.6224999999999</v>
      </c>
      <c r="Q39" s="17">
        <f t="shared" si="26"/>
        <v>2432.9760000000001</v>
      </c>
      <c r="R39" s="17">
        <f t="shared" si="26"/>
        <v>2522.5065</v>
      </c>
      <c r="S39" s="17">
        <f t="shared" si="26"/>
        <v>2615.3325</v>
      </c>
      <c r="T39" s="17">
        <f t="shared" si="26"/>
        <v>2711.5740000000001</v>
      </c>
      <c r="U39" s="17">
        <f t="shared" si="26"/>
        <v>2811.3584999999998</v>
      </c>
      <c r="V39" s="17">
        <f t="shared" si="26"/>
        <v>2914.8134999999997</v>
      </c>
      <c r="W39" s="17">
        <f t="shared" si="26"/>
        <v>3022.0754999999995</v>
      </c>
      <c r="X39" s="17">
        <f t="shared" si="26"/>
        <v>3133.2855</v>
      </c>
      <c r="Y39" s="17">
        <f t="shared" si="26"/>
        <v>3248.5875000000001</v>
      </c>
      <c r="Z39" s="17">
        <f t="shared" si="26"/>
        <v>3368.1330000000003</v>
      </c>
      <c r="AA39" s="17">
        <f t="shared" si="26"/>
        <v>3492.078</v>
      </c>
      <c r="AB39" s="17">
        <f t="shared" si="26"/>
        <v>3620.5830000000001</v>
      </c>
      <c r="AC39" s="17">
        <f t="shared" si="26"/>
        <v>3753.8175000000001</v>
      </c>
      <c r="AD39" s="17">
        <f t="shared" si="26"/>
        <v>3891.9539999999997</v>
      </c>
      <c r="AE39" s="17">
        <f t="shared" si="26"/>
        <v>4035.174</v>
      </c>
      <c r="AF39" s="17">
        <f t="shared" si="26"/>
        <v>4183.665</v>
      </c>
      <c r="AG39" s="17">
        <f t="shared" si="26"/>
        <v>4337.6205</v>
      </c>
      <c r="AH39" s="17">
        <f t="shared" si="26"/>
        <v>4497.2415000000001</v>
      </c>
      <c r="AI39" s="17">
        <f t="shared" si="26"/>
        <v>4662.7349999999997</v>
      </c>
    </row>
    <row r="40" spans="1:35" x14ac:dyDescent="0.25">
      <c r="A40" t="s">
        <v>153</v>
      </c>
      <c r="B40" t="s">
        <v>46</v>
      </c>
      <c r="C40" t="s">
        <v>120</v>
      </c>
      <c r="D40" s="19"/>
      <c r="E40" s="17">
        <v>279.67</v>
      </c>
      <c r="F40" s="17">
        <v>286.31</v>
      </c>
      <c r="G40" s="17">
        <v>291.64999999999998</v>
      </c>
      <c r="H40" s="17">
        <v>296.17</v>
      </c>
      <c r="I40" s="17">
        <v>304.41000000000003</v>
      </c>
      <c r="J40" s="17">
        <v>312.88</v>
      </c>
      <c r="K40" s="17">
        <v>321.58999999999997</v>
      </c>
      <c r="L40" s="17">
        <v>330.53</v>
      </c>
      <c r="M40" s="17">
        <v>339.73</v>
      </c>
      <c r="N40" s="17">
        <v>349.18</v>
      </c>
      <c r="O40" s="17">
        <v>358.9</v>
      </c>
      <c r="P40" s="17">
        <v>368.89</v>
      </c>
      <c r="Q40" s="17">
        <v>379.15</v>
      </c>
      <c r="R40" s="17">
        <v>389.7</v>
      </c>
      <c r="S40" s="17">
        <v>400.54</v>
      </c>
      <c r="T40" s="17">
        <v>411.69</v>
      </c>
      <c r="U40" s="17">
        <v>423.14</v>
      </c>
      <c r="V40" s="17">
        <v>434.91</v>
      </c>
      <c r="W40" s="17">
        <v>447.01</v>
      </c>
      <c r="X40" s="17">
        <v>459.45</v>
      </c>
      <c r="Y40" s="17">
        <v>472.23</v>
      </c>
      <c r="Z40" s="17">
        <v>485.37</v>
      </c>
      <c r="AA40" s="17">
        <v>498.88</v>
      </c>
      <c r="AB40" s="17">
        <v>512.76</v>
      </c>
      <c r="AC40" s="17">
        <v>527.03</v>
      </c>
      <c r="AD40" s="17">
        <v>541.69000000000005</v>
      </c>
      <c r="AE40" s="17">
        <v>556.76</v>
      </c>
      <c r="AF40" s="17">
        <v>572.25</v>
      </c>
      <c r="AG40" s="17">
        <v>588.16999999999996</v>
      </c>
      <c r="AH40" s="17">
        <v>604.54</v>
      </c>
      <c r="AI40" s="17">
        <v>621.36</v>
      </c>
    </row>
    <row r="41" spans="1:35" x14ac:dyDescent="0.25">
      <c r="A41" t="s">
        <v>154</v>
      </c>
      <c r="B41" t="s">
        <v>11</v>
      </c>
      <c r="C41" t="s">
        <v>120</v>
      </c>
      <c r="D41" s="19"/>
      <c r="E41" s="17">
        <v>106257.2</v>
      </c>
      <c r="F41" s="17">
        <v>110262.43</v>
      </c>
      <c r="G41" s="17">
        <v>113464.59</v>
      </c>
      <c r="H41" s="17">
        <v>116622.86</v>
      </c>
      <c r="I41" s="17">
        <v>120914.47</v>
      </c>
      <c r="J41" s="17">
        <v>125364.02</v>
      </c>
      <c r="K41" s="17">
        <v>129977.3</v>
      </c>
      <c r="L41" s="17">
        <v>134760.35</v>
      </c>
      <c r="M41" s="17">
        <v>139719.41</v>
      </c>
      <c r="N41" s="17">
        <v>144860.96</v>
      </c>
      <c r="O41" s="17">
        <v>150191.71</v>
      </c>
      <c r="P41" s="17">
        <v>155718.63</v>
      </c>
      <c r="Q41" s="17">
        <v>161448.94</v>
      </c>
      <c r="R41" s="17">
        <v>167390.12</v>
      </c>
      <c r="S41" s="17">
        <v>173549.92</v>
      </c>
      <c r="T41" s="17">
        <v>179936.4</v>
      </c>
      <c r="U41" s="17">
        <v>186557.9</v>
      </c>
      <c r="V41" s="17">
        <v>193423.07</v>
      </c>
      <c r="W41" s="17">
        <v>200540.86</v>
      </c>
      <c r="X41" s="17">
        <v>207920.59</v>
      </c>
      <c r="Y41" s="17">
        <v>215571.88</v>
      </c>
      <c r="Z41" s="17">
        <v>223504.73</v>
      </c>
      <c r="AA41" s="17">
        <v>231729.5</v>
      </c>
      <c r="AB41" s="17">
        <v>240256.94</v>
      </c>
      <c r="AC41" s="17">
        <v>249098.18</v>
      </c>
      <c r="AD41" s="17">
        <v>258264.77</v>
      </c>
      <c r="AE41" s="17">
        <v>267768.68</v>
      </c>
      <c r="AF41" s="17">
        <v>277622.33</v>
      </c>
      <c r="AG41" s="17">
        <v>287838.59000000003</v>
      </c>
      <c r="AH41" s="17">
        <v>298430.78999999998</v>
      </c>
      <c r="AI41" s="17">
        <v>309412.77</v>
      </c>
    </row>
    <row r="42" spans="1:35" x14ac:dyDescent="0.25">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25">
      <c r="A43" s="2" t="s">
        <v>155</v>
      </c>
      <c r="B43" s="2" t="s">
        <v>74</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5">
      <c r="A44" t="s">
        <v>156</v>
      </c>
      <c r="B44" t="s">
        <v>75</v>
      </c>
      <c r="C44" t="s">
        <v>120</v>
      </c>
      <c r="D44" s="19"/>
      <c r="E44" s="17"/>
      <c r="F44" s="17">
        <v>20000</v>
      </c>
      <c r="G44" s="17">
        <f>F44*1.03</f>
        <v>20600</v>
      </c>
      <c r="H44" s="17">
        <f t="shared" ref="H44:AI44" si="27">G44*1.03</f>
        <v>21218</v>
      </c>
      <c r="I44" s="17">
        <f t="shared" si="27"/>
        <v>21854.54</v>
      </c>
      <c r="J44" s="17">
        <f t="shared" si="27"/>
        <v>22510.176200000002</v>
      </c>
      <c r="K44" s="17">
        <f t="shared" si="27"/>
        <v>23185.481486000001</v>
      </c>
      <c r="L44" s="17">
        <f t="shared" si="27"/>
        <v>23881.04593058</v>
      </c>
      <c r="M44" s="17">
        <f t="shared" si="27"/>
        <v>24597.4773084974</v>
      </c>
      <c r="N44" s="17">
        <f t="shared" si="27"/>
        <v>25335.401627752322</v>
      </c>
      <c r="O44" s="17">
        <f t="shared" si="27"/>
        <v>26095.463676584892</v>
      </c>
      <c r="P44" s="17">
        <f t="shared" si="27"/>
        <v>26878.327586882438</v>
      </c>
      <c r="Q44" s="17">
        <f t="shared" si="27"/>
        <v>27684.677414488913</v>
      </c>
      <c r="R44" s="17">
        <f t="shared" si="27"/>
        <v>28515.21773692358</v>
      </c>
      <c r="S44" s="17">
        <f t="shared" si="27"/>
        <v>29370.674269031289</v>
      </c>
      <c r="T44" s="17">
        <f t="shared" si="27"/>
        <v>30251.79449710223</v>
      </c>
      <c r="U44" s="17">
        <f t="shared" si="27"/>
        <v>31159.348332015299</v>
      </c>
      <c r="V44" s="17">
        <f t="shared" si="27"/>
        <v>32094.12878197576</v>
      </c>
      <c r="W44" s="17">
        <f t="shared" si="27"/>
        <v>33056.952645435034</v>
      </c>
      <c r="X44" s="17">
        <f t="shared" si="27"/>
        <v>34048.661224798088</v>
      </c>
      <c r="Y44" s="17">
        <f t="shared" si="27"/>
        <v>35070.121061542035</v>
      </c>
      <c r="Z44" s="17">
        <f t="shared" si="27"/>
        <v>36122.2246933883</v>
      </c>
      <c r="AA44" s="17">
        <f t="shared" si="27"/>
        <v>37205.891434189951</v>
      </c>
      <c r="AB44" s="17">
        <f t="shared" si="27"/>
        <v>38322.068177215653</v>
      </c>
      <c r="AC44" s="17">
        <f t="shared" si="27"/>
        <v>39471.730222532125</v>
      </c>
      <c r="AD44" s="17">
        <f t="shared" si="27"/>
        <v>40655.88212920809</v>
      </c>
      <c r="AE44" s="17">
        <f t="shared" si="27"/>
        <v>41875.558593084337</v>
      </c>
      <c r="AF44" s="17">
        <f t="shared" si="27"/>
        <v>43131.825350876868</v>
      </c>
      <c r="AG44" s="17">
        <f t="shared" si="27"/>
        <v>44425.780111403175</v>
      </c>
      <c r="AH44" s="17">
        <f t="shared" si="27"/>
        <v>45758.553514745268</v>
      </c>
      <c r="AI44" s="17">
        <f t="shared" si="27"/>
        <v>47131.310120187627</v>
      </c>
    </row>
    <row r="45" spans="1:35" x14ac:dyDescent="0.25">
      <c r="A45" t="s">
        <v>157</v>
      </c>
      <c r="B45" s="7" t="s">
        <v>146</v>
      </c>
      <c r="C45" t="s">
        <v>120</v>
      </c>
      <c r="D45" s="19"/>
      <c r="E45" s="17"/>
      <c r="F45" s="17">
        <f>10675000</f>
        <v>10675000</v>
      </c>
      <c r="G45" s="17">
        <f t="shared" ref="G45:AI45" si="28">10675000</f>
        <v>10675000</v>
      </c>
      <c r="H45" s="17">
        <f t="shared" si="28"/>
        <v>10675000</v>
      </c>
      <c r="I45" s="17">
        <f t="shared" si="28"/>
        <v>10675000</v>
      </c>
      <c r="J45" s="17">
        <f t="shared" si="28"/>
        <v>10675000</v>
      </c>
      <c r="K45" s="17">
        <f t="shared" si="28"/>
        <v>10675000</v>
      </c>
      <c r="L45" s="17">
        <f t="shared" si="28"/>
        <v>10675000</v>
      </c>
      <c r="M45" s="17">
        <f t="shared" si="28"/>
        <v>10675000</v>
      </c>
      <c r="N45" s="17">
        <f t="shared" si="28"/>
        <v>10675000</v>
      </c>
      <c r="O45" s="17">
        <f t="shared" si="28"/>
        <v>10675000</v>
      </c>
      <c r="P45" s="17">
        <f t="shared" si="28"/>
        <v>10675000</v>
      </c>
      <c r="Q45" s="17">
        <f t="shared" si="28"/>
        <v>10675000</v>
      </c>
      <c r="R45" s="17">
        <f t="shared" si="28"/>
        <v>10675000</v>
      </c>
      <c r="S45" s="17">
        <f t="shared" si="28"/>
        <v>10675000</v>
      </c>
      <c r="T45" s="17">
        <f t="shared" si="28"/>
        <v>10675000</v>
      </c>
      <c r="U45" s="17">
        <f t="shared" si="28"/>
        <v>10675000</v>
      </c>
      <c r="V45" s="17">
        <f t="shared" si="28"/>
        <v>10675000</v>
      </c>
      <c r="W45" s="17">
        <f t="shared" si="28"/>
        <v>10675000</v>
      </c>
      <c r="X45" s="17">
        <f t="shared" si="28"/>
        <v>10675000</v>
      </c>
      <c r="Y45" s="17">
        <f t="shared" si="28"/>
        <v>10675000</v>
      </c>
      <c r="Z45" s="17">
        <f t="shared" si="28"/>
        <v>10675000</v>
      </c>
      <c r="AA45" s="17">
        <f t="shared" si="28"/>
        <v>10675000</v>
      </c>
      <c r="AB45" s="17">
        <f t="shared" si="28"/>
        <v>10675000</v>
      </c>
      <c r="AC45" s="17">
        <f t="shared" si="28"/>
        <v>10675000</v>
      </c>
      <c r="AD45" s="17">
        <f t="shared" si="28"/>
        <v>10675000</v>
      </c>
      <c r="AE45" s="17">
        <f t="shared" si="28"/>
        <v>10675000</v>
      </c>
      <c r="AF45" s="17">
        <f t="shared" si="28"/>
        <v>10675000</v>
      </c>
      <c r="AG45" s="17">
        <f t="shared" si="28"/>
        <v>10675000</v>
      </c>
      <c r="AH45" s="17">
        <f t="shared" si="28"/>
        <v>10675000</v>
      </c>
      <c r="AI45" s="17">
        <f t="shared" si="28"/>
        <v>10675000</v>
      </c>
    </row>
    <row r="46" spans="1:35" x14ac:dyDescent="0.25">
      <c r="E46" s="3"/>
      <c r="G46" s="3"/>
    </row>
    <row r="47" spans="1:35" x14ac:dyDescent="0.25">
      <c r="A47" s="2" t="s">
        <v>160</v>
      </c>
      <c r="B47" s="36" t="s">
        <v>277</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5">
      <c r="A48" t="s">
        <v>158</v>
      </c>
      <c r="B48" t="s">
        <v>261</v>
      </c>
    </row>
    <row r="49" spans="1:2" x14ac:dyDescent="0.25">
      <c r="A49" t="s">
        <v>159</v>
      </c>
      <c r="B49" t="s">
        <v>264</v>
      </c>
    </row>
    <row r="50" spans="1:2" x14ac:dyDescent="0.25">
      <c r="A50" t="s">
        <v>258</v>
      </c>
      <c r="B50" t="s">
        <v>342</v>
      </c>
    </row>
    <row r="51" spans="1:2" x14ac:dyDescent="0.25">
      <c r="A51" t="s">
        <v>262</v>
      </c>
      <c r="B51" t="s">
        <v>263</v>
      </c>
    </row>
  </sheetData>
  <mergeCells count="5">
    <mergeCell ref="E1:AI1"/>
    <mergeCell ref="B2:B3"/>
    <mergeCell ref="D2:D3"/>
    <mergeCell ref="A1:A3"/>
    <mergeCell ref="C2:C3"/>
  </mergeCells>
  <phoneticPr fontId="6" type="noConversion"/>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DFB8-5D74-4618-BBC7-120A37BBAF6B}">
  <sheetPr codeName="Sheet20">
    <tabColor theme="9" tint="0.79998168889431442"/>
  </sheetPr>
  <dimension ref="A1:AK30"/>
  <sheetViews>
    <sheetView workbookViewId="0">
      <selection activeCell="A9" sqref="A9:C11"/>
    </sheetView>
  </sheetViews>
  <sheetFormatPr defaultRowHeight="15" x14ac:dyDescent="0.25"/>
  <cols>
    <col min="2" max="2" width="81" customWidth="1"/>
    <col min="3" max="3" width="11.5703125" customWidth="1"/>
    <col min="4" max="4" width="10.5703125" bestFit="1" customWidth="1"/>
    <col min="5" max="6" width="9.85546875" bestFit="1" customWidth="1"/>
    <col min="11" max="12" width="9.85546875" bestFit="1" customWidth="1"/>
  </cols>
  <sheetData>
    <row r="1" spans="1:21" ht="15" customHeight="1" x14ac:dyDescent="0.25">
      <c r="A1" s="42" t="s">
        <v>117</v>
      </c>
      <c r="B1" s="2" t="s">
        <v>113</v>
      </c>
      <c r="C1" s="15" t="s">
        <v>118</v>
      </c>
      <c r="D1" s="2"/>
      <c r="E1" s="52" t="s">
        <v>5</v>
      </c>
      <c r="F1" s="52"/>
      <c r="G1" s="52"/>
      <c r="H1" s="52"/>
      <c r="I1" s="52"/>
      <c r="J1" s="52"/>
      <c r="K1" s="52"/>
      <c r="L1" s="52"/>
      <c r="M1" s="52"/>
      <c r="N1" s="52"/>
      <c r="O1" s="52"/>
      <c r="P1" s="52"/>
      <c r="Q1" s="52"/>
      <c r="R1" s="52"/>
      <c r="S1" s="52"/>
      <c r="T1" s="52"/>
      <c r="U1" s="52"/>
    </row>
    <row r="2" spans="1:21" x14ac:dyDescent="0.25">
      <c r="A2" s="42"/>
      <c r="B2" s="52" t="s">
        <v>3</v>
      </c>
      <c r="C2" s="49" t="s">
        <v>119</v>
      </c>
      <c r="D2" s="52" t="s">
        <v>4</v>
      </c>
      <c r="E2" s="2">
        <v>2022</v>
      </c>
      <c r="F2" s="2">
        <v>2023</v>
      </c>
      <c r="G2" s="2">
        <v>2024</v>
      </c>
      <c r="H2" s="2">
        <v>2025</v>
      </c>
      <c r="I2" s="2">
        <v>2026</v>
      </c>
      <c r="J2" s="2">
        <v>2027</v>
      </c>
      <c r="K2" s="2">
        <v>2028</v>
      </c>
      <c r="L2" s="2">
        <v>2029</v>
      </c>
      <c r="M2" s="2">
        <v>2030</v>
      </c>
      <c r="N2" s="2">
        <v>2031</v>
      </c>
      <c r="O2" s="2">
        <v>2032</v>
      </c>
      <c r="P2" s="2">
        <v>2033</v>
      </c>
      <c r="Q2" s="2">
        <v>2034</v>
      </c>
      <c r="R2" s="2">
        <v>2035</v>
      </c>
      <c r="S2" s="2">
        <v>2036</v>
      </c>
      <c r="T2" s="2">
        <v>2037</v>
      </c>
      <c r="U2" s="2">
        <v>2038</v>
      </c>
    </row>
    <row r="3" spans="1:21" x14ac:dyDescent="0.25">
      <c r="A3" s="42"/>
      <c r="B3" s="52"/>
      <c r="C3" s="49"/>
      <c r="D3" s="52"/>
      <c r="E3" s="2">
        <v>0</v>
      </c>
      <c r="F3" s="2">
        <v>1</v>
      </c>
      <c r="G3" s="2">
        <v>2</v>
      </c>
      <c r="H3" s="2">
        <v>3</v>
      </c>
      <c r="I3" s="2">
        <v>4</v>
      </c>
      <c r="J3" s="2">
        <v>5</v>
      </c>
      <c r="K3" s="2">
        <v>6</v>
      </c>
      <c r="L3" s="2">
        <v>7</v>
      </c>
      <c r="M3" s="2">
        <v>8</v>
      </c>
      <c r="N3" s="2">
        <v>9</v>
      </c>
      <c r="O3" s="2">
        <v>10</v>
      </c>
      <c r="P3" s="2">
        <v>11</v>
      </c>
      <c r="Q3" s="2">
        <v>12</v>
      </c>
      <c r="R3" s="2">
        <v>13</v>
      </c>
      <c r="S3" s="2">
        <v>14</v>
      </c>
      <c r="T3" s="2">
        <v>15</v>
      </c>
      <c r="U3" s="2">
        <v>16</v>
      </c>
    </row>
    <row r="4" spans="1:21" x14ac:dyDescent="0.25">
      <c r="A4" t="s">
        <v>115</v>
      </c>
      <c r="B4" t="s">
        <v>319</v>
      </c>
      <c r="C4" t="s">
        <v>120</v>
      </c>
      <c r="D4" s="18">
        <f>E4+NPV(0.05,F4:L4)</f>
        <v>32966628.374225862</v>
      </c>
      <c r="E4" s="18">
        <f>38862145/8</f>
        <v>4857768.125</v>
      </c>
      <c r="F4" s="18">
        <f t="shared" ref="F4:L4" si="0">38862145/8</f>
        <v>4857768.125</v>
      </c>
      <c r="G4" s="18">
        <f t="shared" si="0"/>
        <v>4857768.125</v>
      </c>
      <c r="H4" s="18">
        <f t="shared" si="0"/>
        <v>4857768.125</v>
      </c>
      <c r="I4" s="18">
        <f t="shared" si="0"/>
        <v>4857768.125</v>
      </c>
      <c r="J4" s="18">
        <f t="shared" si="0"/>
        <v>4857768.125</v>
      </c>
      <c r="K4" s="18">
        <f t="shared" si="0"/>
        <v>4857768.125</v>
      </c>
      <c r="L4" s="18">
        <f t="shared" si="0"/>
        <v>4857768.125</v>
      </c>
      <c r="M4" s="22"/>
      <c r="N4" s="22"/>
      <c r="O4" s="22"/>
      <c r="P4" s="22"/>
      <c r="Q4" s="22"/>
      <c r="R4" s="22"/>
      <c r="S4" s="22"/>
      <c r="T4" s="22"/>
      <c r="U4" s="22"/>
    </row>
    <row r="5" spans="1:21" x14ac:dyDescent="0.25">
      <c r="A5" t="s">
        <v>161</v>
      </c>
      <c r="B5" t="s">
        <v>323</v>
      </c>
      <c r="C5" t="s">
        <v>120</v>
      </c>
      <c r="D5" s="18">
        <f>SUM(D13:D14)</f>
        <v>41435444.383723699</v>
      </c>
      <c r="E5" s="18">
        <f t="shared" ref="E5:U5" si="1">SUM(E13:E14)</f>
        <v>0</v>
      </c>
      <c r="F5" s="18">
        <f t="shared" si="1"/>
        <v>0</v>
      </c>
      <c r="G5" s="18">
        <f t="shared" si="1"/>
        <v>0</v>
      </c>
      <c r="H5" s="18">
        <f t="shared" si="1"/>
        <v>0</v>
      </c>
      <c r="I5" s="18">
        <f t="shared" si="1"/>
        <v>1190583.0900000001</v>
      </c>
      <c r="J5" s="18">
        <f t="shared" si="1"/>
        <v>2468788.56</v>
      </c>
      <c r="K5" s="18">
        <f t="shared" si="1"/>
        <v>3839451.3000000003</v>
      </c>
      <c r="L5" s="18">
        <f t="shared" si="1"/>
        <v>5307680.5200000005</v>
      </c>
      <c r="M5" s="18">
        <f t="shared" si="1"/>
        <v>5502996.3600000003</v>
      </c>
      <c r="N5" s="18">
        <f t="shared" si="1"/>
        <v>5705490.2400000002</v>
      </c>
      <c r="O5" s="18">
        <f t="shared" si="1"/>
        <v>5915436.4799999995</v>
      </c>
      <c r="P5" s="18">
        <f t="shared" si="1"/>
        <v>6133109.4000000004</v>
      </c>
      <c r="Q5" s="18">
        <f t="shared" si="1"/>
        <v>6358829.04</v>
      </c>
      <c r="R5" s="18">
        <f t="shared" si="1"/>
        <v>6592824</v>
      </c>
      <c r="S5" s="18">
        <f t="shared" si="1"/>
        <v>6835414.3199999994</v>
      </c>
      <c r="T5" s="18">
        <f t="shared" si="1"/>
        <v>7086965.7599999998</v>
      </c>
      <c r="U5" s="18">
        <f t="shared" si="1"/>
        <v>7347752.6399999997</v>
      </c>
    </row>
    <row r="6" spans="1:21" x14ac:dyDescent="0.25">
      <c r="A6" t="s">
        <v>162</v>
      </c>
      <c r="B6" t="s">
        <v>312</v>
      </c>
      <c r="C6" t="s">
        <v>120</v>
      </c>
      <c r="D6" s="18">
        <f>NPV(0.05,F6:U6)</f>
        <v>33148355.506978963</v>
      </c>
      <c r="E6" s="18">
        <f>E5*0.8</f>
        <v>0</v>
      </c>
      <c r="F6" s="18">
        <f t="shared" ref="F6:U6" si="2">F5*0.8</f>
        <v>0</v>
      </c>
      <c r="G6" s="18">
        <f t="shared" si="2"/>
        <v>0</v>
      </c>
      <c r="H6" s="18">
        <f t="shared" si="2"/>
        <v>0</v>
      </c>
      <c r="I6" s="18">
        <f t="shared" si="2"/>
        <v>952466.47200000007</v>
      </c>
      <c r="J6" s="18">
        <f t="shared" si="2"/>
        <v>1975030.8480000002</v>
      </c>
      <c r="K6" s="18">
        <f t="shared" si="2"/>
        <v>3071561.0400000005</v>
      </c>
      <c r="L6" s="18">
        <f t="shared" si="2"/>
        <v>4246144.4160000002</v>
      </c>
      <c r="M6" s="18">
        <f t="shared" si="2"/>
        <v>4402397.0880000005</v>
      </c>
      <c r="N6" s="18">
        <f t="shared" si="2"/>
        <v>4564392.1920000007</v>
      </c>
      <c r="O6" s="18">
        <f t="shared" si="2"/>
        <v>4732349.1839999994</v>
      </c>
      <c r="P6" s="18">
        <f t="shared" si="2"/>
        <v>4906487.5200000005</v>
      </c>
      <c r="Q6" s="18">
        <f t="shared" si="2"/>
        <v>5087063.2320000008</v>
      </c>
      <c r="R6" s="18">
        <f t="shared" si="2"/>
        <v>5274259.2</v>
      </c>
      <c r="S6" s="18">
        <f t="shared" si="2"/>
        <v>5468331.4560000002</v>
      </c>
      <c r="T6" s="18">
        <f t="shared" si="2"/>
        <v>5669572.608</v>
      </c>
      <c r="U6" s="18">
        <f t="shared" si="2"/>
        <v>5878202.1119999997</v>
      </c>
    </row>
    <row r="8" spans="1:21" x14ac:dyDescent="0.25">
      <c r="A8" t="s">
        <v>121</v>
      </c>
      <c r="B8" t="s">
        <v>179</v>
      </c>
      <c r="C8" t="s">
        <v>120</v>
      </c>
      <c r="D8" s="20">
        <f>D5-D4</f>
        <v>8468816.0094978362</v>
      </c>
    </row>
    <row r="9" spans="1:21" x14ac:dyDescent="0.25">
      <c r="A9" t="s">
        <v>244</v>
      </c>
      <c r="B9" t="s">
        <v>247</v>
      </c>
      <c r="C9" t="s">
        <v>126</v>
      </c>
      <c r="D9" s="21">
        <f>D5/D4</f>
        <v>1.2568905716824523</v>
      </c>
    </row>
    <row r="10" spans="1:21" x14ac:dyDescent="0.25">
      <c r="A10" t="s">
        <v>245</v>
      </c>
      <c r="B10" t="s">
        <v>248</v>
      </c>
      <c r="C10" t="s">
        <v>126</v>
      </c>
      <c r="D10" s="21">
        <f>D9</f>
        <v>1.2568905716824523</v>
      </c>
      <c r="E10" t="s">
        <v>339</v>
      </c>
    </row>
    <row r="11" spans="1:21" x14ac:dyDescent="0.25">
      <c r="A11" t="s">
        <v>246</v>
      </c>
      <c r="B11" t="s">
        <v>249</v>
      </c>
      <c r="C11" t="s">
        <v>126</v>
      </c>
      <c r="D11" s="21">
        <f>D6/D4</f>
        <v>1.005512457345962</v>
      </c>
    </row>
    <row r="13" spans="1:21" x14ac:dyDescent="0.25">
      <c r="A13" t="s">
        <v>122</v>
      </c>
      <c r="B13" t="s">
        <v>124</v>
      </c>
      <c r="C13" t="s">
        <v>120</v>
      </c>
      <c r="D13" s="18">
        <f>SUM(E13:U13)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row>
    <row r="14" spans="1:21" x14ac:dyDescent="0.25">
      <c r="A14" t="s">
        <v>123</v>
      </c>
      <c r="B14" t="s">
        <v>125</v>
      </c>
      <c r="C14" t="s">
        <v>120</v>
      </c>
      <c r="D14" s="18">
        <f>D16</f>
        <v>41435444.383723699</v>
      </c>
      <c r="E14" s="18">
        <f t="shared" ref="E14:U14" si="3">E16</f>
        <v>0</v>
      </c>
      <c r="F14" s="18">
        <f t="shared" si="3"/>
        <v>0</v>
      </c>
      <c r="G14" s="18">
        <f t="shared" si="3"/>
        <v>0</v>
      </c>
      <c r="H14" s="18">
        <f t="shared" si="3"/>
        <v>0</v>
      </c>
      <c r="I14" s="18">
        <f t="shared" si="3"/>
        <v>1190583.0900000001</v>
      </c>
      <c r="J14" s="18">
        <f t="shared" si="3"/>
        <v>2468788.56</v>
      </c>
      <c r="K14" s="18">
        <f t="shared" si="3"/>
        <v>3839451.3000000003</v>
      </c>
      <c r="L14" s="18">
        <f t="shared" si="3"/>
        <v>5307680.5200000005</v>
      </c>
      <c r="M14" s="18">
        <f t="shared" si="3"/>
        <v>5502996.3600000003</v>
      </c>
      <c r="N14" s="18">
        <f t="shared" si="3"/>
        <v>5705490.2400000002</v>
      </c>
      <c r="O14" s="18">
        <f t="shared" si="3"/>
        <v>5915436.4799999995</v>
      </c>
      <c r="P14" s="18">
        <f t="shared" si="3"/>
        <v>6133109.4000000004</v>
      </c>
      <c r="Q14" s="18">
        <f t="shared" si="3"/>
        <v>6358829.04</v>
      </c>
      <c r="R14" s="18">
        <f t="shared" si="3"/>
        <v>6592824</v>
      </c>
      <c r="S14" s="18">
        <f t="shared" si="3"/>
        <v>6835414.3199999994</v>
      </c>
      <c r="T14" s="18">
        <f t="shared" si="3"/>
        <v>7086965.7599999998</v>
      </c>
      <c r="U14" s="18">
        <f t="shared" si="3"/>
        <v>7347752.6399999997</v>
      </c>
    </row>
    <row r="16" spans="1:21" x14ac:dyDescent="0.25">
      <c r="A16" s="2" t="s">
        <v>127</v>
      </c>
      <c r="B16" s="2" t="s">
        <v>242</v>
      </c>
      <c r="C16" s="2"/>
      <c r="D16" s="23">
        <f>D18</f>
        <v>41435444.383723699</v>
      </c>
      <c r="E16" s="23">
        <f t="shared" ref="E16:U16" si="4">E18</f>
        <v>0</v>
      </c>
      <c r="F16" s="23">
        <f t="shared" si="4"/>
        <v>0</v>
      </c>
      <c r="G16" s="23">
        <f t="shared" si="4"/>
        <v>0</v>
      </c>
      <c r="H16" s="23">
        <f t="shared" si="4"/>
        <v>0</v>
      </c>
      <c r="I16" s="23">
        <f t="shared" si="4"/>
        <v>1190583.0900000001</v>
      </c>
      <c r="J16" s="23">
        <f t="shared" si="4"/>
        <v>2468788.56</v>
      </c>
      <c r="K16" s="23">
        <f t="shared" si="4"/>
        <v>3839451.3000000003</v>
      </c>
      <c r="L16" s="23">
        <f t="shared" si="4"/>
        <v>5307680.5200000005</v>
      </c>
      <c r="M16" s="23">
        <f t="shared" si="4"/>
        <v>5502996.3600000003</v>
      </c>
      <c r="N16" s="23">
        <f t="shared" si="4"/>
        <v>5705490.2400000002</v>
      </c>
      <c r="O16" s="23">
        <f t="shared" si="4"/>
        <v>5915436.4799999995</v>
      </c>
      <c r="P16" s="23">
        <f t="shared" si="4"/>
        <v>6133109.4000000004</v>
      </c>
      <c r="Q16" s="23">
        <f t="shared" si="4"/>
        <v>6358829.04</v>
      </c>
      <c r="R16" s="23">
        <f t="shared" si="4"/>
        <v>6592824</v>
      </c>
      <c r="S16" s="23">
        <f t="shared" si="4"/>
        <v>6835414.3199999994</v>
      </c>
      <c r="T16" s="23">
        <f t="shared" si="4"/>
        <v>7086965.7599999998</v>
      </c>
      <c r="U16" s="23">
        <f t="shared" si="4"/>
        <v>7347752.6399999997</v>
      </c>
    </row>
    <row r="17" spans="1:37" x14ac:dyDescent="0.25">
      <c r="A17" t="s">
        <v>129</v>
      </c>
      <c r="B17" t="s">
        <v>22</v>
      </c>
      <c r="C17" t="s">
        <v>144</v>
      </c>
      <c r="D17" s="19"/>
      <c r="E17" s="17"/>
      <c r="F17" s="19"/>
      <c r="G17" s="19"/>
      <c r="H17" s="19"/>
      <c r="I17" s="17">
        <v>5715</v>
      </c>
      <c r="J17" s="17">
        <v>11430</v>
      </c>
      <c r="K17" s="17">
        <v>17145</v>
      </c>
      <c r="L17" s="17">
        <v>22860</v>
      </c>
      <c r="M17" s="17">
        <v>22860</v>
      </c>
      <c r="N17" s="17">
        <v>22860</v>
      </c>
      <c r="O17" s="17">
        <v>22860</v>
      </c>
      <c r="P17" s="17">
        <v>22860</v>
      </c>
      <c r="Q17" s="17">
        <v>22860</v>
      </c>
      <c r="R17" s="17">
        <v>22860</v>
      </c>
      <c r="S17" s="17">
        <v>22860</v>
      </c>
      <c r="T17" s="17">
        <v>22860</v>
      </c>
      <c r="U17" s="17">
        <v>22860</v>
      </c>
      <c r="V17" s="3"/>
      <c r="W17" s="3"/>
      <c r="X17" s="3"/>
      <c r="Y17" s="3"/>
      <c r="Z17" s="3"/>
      <c r="AA17" s="3"/>
      <c r="AB17" s="3"/>
      <c r="AC17" s="3"/>
      <c r="AD17" s="3"/>
      <c r="AE17" s="3"/>
      <c r="AF17" s="3"/>
      <c r="AG17" s="3"/>
      <c r="AH17" s="3"/>
      <c r="AI17" s="3"/>
      <c r="AJ17" s="3"/>
      <c r="AK17" s="3"/>
    </row>
    <row r="18" spans="1:37" x14ac:dyDescent="0.25">
      <c r="A18" t="s">
        <v>130</v>
      </c>
      <c r="B18" t="s">
        <v>240</v>
      </c>
      <c r="C18" t="s">
        <v>120</v>
      </c>
      <c r="D18" s="18">
        <f>NPV(0.05,F18:U18)</f>
        <v>41435444.383723699</v>
      </c>
      <c r="E18" s="18">
        <f>E17*0.2*E21</f>
        <v>0</v>
      </c>
      <c r="F18" s="18">
        <f t="shared" ref="F18:U18" si="5">F17*0.2*F21</f>
        <v>0</v>
      </c>
      <c r="G18" s="18">
        <f t="shared" si="5"/>
        <v>0</v>
      </c>
      <c r="H18" s="18">
        <f t="shared" si="5"/>
        <v>0</v>
      </c>
      <c r="I18" s="18">
        <f t="shared" si="5"/>
        <v>1190583.0900000001</v>
      </c>
      <c r="J18" s="18">
        <f t="shared" si="5"/>
        <v>2468788.56</v>
      </c>
      <c r="K18" s="18">
        <f t="shared" si="5"/>
        <v>3839451.3000000003</v>
      </c>
      <c r="L18" s="18">
        <f t="shared" si="5"/>
        <v>5307680.5200000005</v>
      </c>
      <c r="M18" s="18">
        <f t="shared" si="5"/>
        <v>5502996.3600000003</v>
      </c>
      <c r="N18" s="18">
        <f t="shared" si="5"/>
        <v>5705490.2400000002</v>
      </c>
      <c r="O18" s="18">
        <f t="shared" si="5"/>
        <v>5915436.4799999995</v>
      </c>
      <c r="P18" s="18">
        <f t="shared" si="5"/>
        <v>6133109.4000000004</v>
      </c>
      <c r="Q18" s="18">
        <f t="shared" si="5"/>
        <v>6358829.04</v>
      </c>
      <c r="R18" s="18">
        <f t="shared" si="5"/>
        <v>6592824</v>
      </c>
      <c r="S18" s="18">
        <f t="shared" si="5"/>
        <v>6835414.3199999994</v>
      </c>
      <c r="T18" s="18">
        <f t="shared" si="5"/>
        <v>7086965.7599999998</v>
      </c>
      <c r="U18" s="18">
        <f t="shared" si="5"/>
        <v>7347752.6399999997</v>
      </c>
    </row>
    <row r="20" spans="1:37" x14ac:dyDescent="0.25">
      <c r="A20" s="2" t="s">
        <v>147</v>
      </c>
      <c r="B20" s="2" t="s">
        <v>6</v>
      </c>
      <c r="C20" s="2"/>
      <c r="D20" s="2"/>
      <c r="E20" s="2"/>
      <c r="F20" s="2"/>
      <c r="G20" s="2"/>
      <c r="H20" s="2"/>
      <c r="I20" s="2"/>
      <c r="J20" s="2"/>
      <c r="K20" s="2"/>
      <c r="L20" s="2"/>
      <c r="M20" s="2"/>
      <c r="N20" s="2"/>
      <c r="O20" s="2"/>
      <c r="P20" s="2"/>
      <c r="Q20" s="2"/>
      <c r="R20" s="2"/>
      <c r="S20" s="2"/>
      <c r="T20" s="2"/>
      <c r="U20" s="2"/>
    </row>
    <row r="21" spans="1:37" ht="30" x14ac:dyDescent="0.25">
      <c r="A21" s="7" t="s">
        <v>148</v>
      </c>
      <c r="B21" s="1" t="s">
        <v>32</v>
      </c>
      <c r="C21" t="s">
        <v>120</v>
      </c>
      <c r="D21" s="19"/>
      <c r="E21" s="17">
        <v>915.36</v>
      </c>
      <c r="F21" s="17">
        <v>949.87</v>
      </c>
      <c r="G21" s="17">
        <v>977.45</v>
      </c>
      <c r="H21" s="17">
        <v>1004.66</v>
      </c>
      <c r="I21" s="17">
        <v>1041.6300000000001</v>
      </c>
      <c r="J21" s="17">
        <v>1079.96</v>
      </c>
      <c r="K21" s="17">
        <v>1119.7</v>
      </c>
      <c r="L21" s="17">
        <v>1160.9100000000001</v>
      </c>
      <c r="M21" s="17">
        <v>1203.6300000000001</v>
      </c>
      <c r="N21" s="17">
        <v>1247.92</v>
      </c>
      <c r="O21" s="17">
        <v>1293.8399999999999</v>
      </c>
      <c r="P21" s="17">
        <v>1341.45</v>
      </c>
      <c r="Q21" s="17">
        <v>1390.82</v>
      </c>
      <c r="R21" s="17">
        <v>1442</v>
      </c>
      <c r="S21" s="17">
        <v>1495.06</v>
      </c>
      <c r="T21" s="17">
        <v>1550.08</v>
      </c>
      <c r="U21" s="17">
        <v>1607.12</v>
      </c>
    </row>
    <row r="23" spans="1:37" x14ac:dyDescent="0.25">
      <c r="A23" s="2" t="s">
        <v>155</v>
      </c>
      <c r="B23" s="36" t="s">
        <v>277</v>
      </c>
      <c r="C23" s="2"/>
      <c r="D23" s="2"/>
      <c r="E23" s="2"/>
      <c r="F23" s="2"/>
      <c r="G23" s="2"/>
      <c r="H23" s="2"/>
      <c r="I23" s="2"/>
      <c r="J23" s="2"/>
      <c r="K23" s="2"/>
      <c r="L23" s="2"/>
      <c r="M23" s="2"/>
      <c r="N23" s="2"/>
      <c r="O23" s="2"/>
      <c r="P23" s="2"/>
      <c r="Q23" s="2"/>
      <c r="R23" s="2"/>
      <c r="S23" s="2"/>
      <c r="T23" s="2"/>
      <c r="U23" s="2"/>
    </row>
    <row r="24" spans="1:37" x14ac:dyDescent="0.25">
      <c r="A24" t="s">
        <v>156</v>
      </c>
      <c r="B24" t="s">
        <v>31</v>
      </c>
      <c r="I24" s="25">
        <v>0.2</v>
      </c>
    </row>
    <row r="29" spans="1:37" x14ac:dyDescent="0.25">
      <c r="A29" s="7"/>
    </row>
    <row r="30" spans="1:37" x14ac:dyDescent="0.25">
      <c r="A30" s="7"/>
    </row>
  </sheetData>
  <mergeCells count="5">
    <mergeCell ref="B2:B3"/>
    <mergeCell ref="D2:D3"/>
    <mergeCell ref="E1:U1"/>
    <mergeCell ref="A1:A3"/>
    <mergeCell ref="C2:C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4458D-9568-49BD-AE91-803FB46B5999}">
  <sheetPr codeName="Sheet21">
    <tabColor theme="9" tint="0.79998168889431442"/>
  </sheetPr>
  <dimension ref="A1:AN30"/>
  <sheetViews>
    <sheetView workbookViewId="0">
      <selection activeCell="K20" sqref="K20"/>
    </sheetView>
  </sheetViews>
  <sheetFormatPr defaultRowHeight="15" x14ac:dyDescent="0.25"/>
  <cols>
    <col min="2" max="2" width="67.85546875" customWidth="1"/>
    <col min="3" max="3" width="11.5703125" customWidth="1"/>
    <col min="4" max="4" width="11.42578125" customWidth="1"/>
    <col min="5" max="5" width="9.85546875" bestFit="1" customWidth="1"/>
    <col min="10" max="12" width="9.85546875" bestFit="1" customWidth="1"/>
  </cols>
  <sheetData>
    <row r="1" spans="1:40" ht="15" customHeight="1" x14ac:dyDescent="0.25">
      <c r="A1" s="42" t="s">
        <v>117</v>
      </c>
      <c r="B1" s="15" t="s">
        <v>114</v>
      </c>
      <c r="C1" s="15" t="s">
        <v>118</v>
      </c>
      <c r="D1" s="15"/>
      <c r="E1" s="42" t="s">
        <v>5</v>
      </c>
      <c r="F1" s="42"/>
      <c r="G1" s="42"/>
      <c r="H1" s="42"/>
      <c r="I1" s="42"/>
      <c r="J1" s="42"/>
      <c r="K1" s="42"/>
      <c r="L1" s="42"/>
      <c r="M1" s="42"/>
      <c r="N1" s="42"/>
      <c r="O1" s="42"/>
      <c r="P1" s="42"/>
      <c r="Q1" s="42"/>
      <c r="R1" s="42"/>
      <c r="S1" s="42"/>
      <c r="T1" s="42"/>
      <c r="U1" s="42"/>
    </row>
    <row r="2" spans="1:40"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40"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40" x14ac:dyDescent="0.25">
      <c r="A4" t="s">
        <v>115</v>
      </c>
      <c r="B4" t="s">
        <v>319</v>
      </c>
      <c r="C4" t="s">
        <v>120</v>
      </c>
      <c r="D4" s="18">
        <f>E4+NPV(0.05,F4:L4)</f>
        <v>12743222.077234315</v>
      </c>
      <c r="E4" s="18">
        <f>15022129/8</f>
        <v>1877766.125</v>
      </c>
      <c r="F4" s="18">
        <f t="shared" ref="F4:L4" si="0">15022129/8</f>
        <v>1877766.125</v>
      </c>
      <c r="G4" s="18">
        <f t="shared" si="0"/>
        <v>1877766.125</v>
      </c>
      <c r="H4" s="18">
        <f t="shared" si="0"/>
        <v>1877766.125</v>
      </c>
      <c r="I4" s="18">
        <f t="shared" si="0"/>
        <v>1877766.125</v>
      </c>
      <c r="J4" s="18">
        <f t="shared" si="0"/>
        <v>1877766.125</v>
      </c>
      <c r="K4" s="18">
        <f t="shared" si="0"/>
        <v>1877766.125</v>
      </c>
      <c r="L4" s="18">
        <f t="shared" si="0"/>
        <v>1877766.125</v>
      </c>
      <c r="M4" s="22"/>
      <c r="N4" s="22"/>
      <c r="O4" s="22"/>
      <c r="P4" s="22"/>
      <c r="Q4" s="22"/>
      <c r="R4" s="22"/>
      <c r="S4" s="22"/>
      <c r="T4" s="22"/>
      <c r="U4" s="22"/>
    </row>
    <row r="5" spans="1:40" x14ac:dyDescent="0.25">
      <c r="A5" t="s">
        <v>116</v>
      </c>
      <c r="B5" t="s">
        <v>315</v>
      </c>
      <c r="C5" t="s">
        <v>120</v>
      </c>
      <c r="D5" s="18">
        <f>SUM(D12:D13)</f>
        <v>29043877.760978434</v>
      </c>
      <c r="E5" s="18">
        <f t="shared" ref="E5:U5" si="1">SUM(E12:E13)</f>
        <v>0</v>
      </c>
      <c r="F5" s="18">
        <f t="shared" si="1"/>
        <v>2122689.3295999998</v>
      </c>
      <c r="G5" s="18">
        <f t="shared" si="1"/>
        <v>2184334.2304000002</v>
      </c>
      <c r="H5" s="18">
        <f t="shared" si="1"/>
        <v>2245135.5471999999</v>
      </c>
      <c r="I5" s="18">
        <f t="shared" si="1"/>
        <v>2327754.0552000003</v>
      </c>
      <c r="J5" s="18">
        <f t="shared" si="1"/>
        <v>2413413.9847999997</v>
      </c>
      <c r="K5" s="18">
        <f t="shared" si="1"/>
        <v>2502225.3032</v>
      </c>
      <c r="L5" s="18">
        <f t="shared" si="1"/>
        <v>2594304.0032000002</v>
      </c>
      <c r="M5" s="18">
        <f t="shared" si="1"/>
        <v>2689772.1032000007</v>
      </c>
      <c r="N5" s="18">
        <f t="shared" si="1"/>
        <v>2788754.6343999999</v>
      </c>
      <c r="O5" s="18">
        <f t="shared" si="1"/>
        <v>2891378.1343999999</v>
      </c>
      <c r="P5" s="18">
        <f t="shared" si="1"/>
        <v>2997778.1791999992</v>
      </c>
      <c r="Q5" s="18">
        <f t="shared" si="1"/>
        <v>3108093.3575999993</v>
      </c>
      <c r="R5" s="18">
        <f t="shared" si="1"/>
        <v>3222468.284</v>
      </c>
      <c r="S5" s="18">
        <f t="shared" si="1"/>
        <v>3341052.0919999997</v>
      </c>
      <c r="T5" s="18">
        <f t="shared" si="1"/>
        <v>3463999.9408000004</v>
      </c>
      <c r="U5" s="18">
        <f t="shared" si="1"/>
        <v>3591471.5088</v>
      </c>
    </row>
    <row r="7" spans="1:40" x14ac:dyDescent="0.25">
      <c r="A7" t="s">
        <v>121</v>
      </c>
      <c r="B7" t="s">
        <v>179</v>
      </c>
      <c r="C7" t="s">
        <v>120</v>
      </c>
      <c r="D7" s="20">
        <f>D5-D4</f>
        <v>16300655.683744119</v>
      </c>
    </row>
    <row r="8" spans="1:40" x14ac:dyDescent="0.25">
      <c r="A8" t="s">
        <v>244</v>
      </c>
      <c r="B8" t="s">
        <v>247</v>
      </c>
      <c r="C8" t="s">
        <v>126</v>
      </c>
      <c r="D8" s="21">
        <f>D5/D4</f>
        <v>2.2791628039556131</v>
      </c>
    </row>
    <row r="9" spans="1:40" x14ac:dyDescent="0.25">
      <c r="A9" t="s">
        <v>245</v>
      </c>
      <c r="B9" t="s">
        <v>248</v>
      </c>
      <c r="C9" t="s">
        <v>126</v>
      </c>
      <c r="D9" s="21">
        <f>D8</f>
        <v>2.2791628039556131</v>
      </c>
    </row>
    <row r="10" spans="1:40" x14ac:dyDescent="0.25">
      <c r="A10" t="s">
        <v>246</v>
      </c>
      <c r="B10" t="s">
        <v>249</v>
      </c>
      <c r="C10" t="s">
        <v>126</v>
      </c>
      <c r="D10" s="21">
        <f>D9</f>
        <v>2.2791628039556131</v>
      </c>
    </row>
    <row r="12" spans="1:40" x14ac:dyDescent="0.25">
      <c r="A12" t="s">
        <v>122</v>
      </c>
      <c r="B12" t="s">
        <v>124</v>
      </c>
      <c r="C12" t="s">
        <v>120</v>
      </c>
      <c r="D12" s="18">
        <f>SUM(E12:U12)</f>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row>
    <row r="13" spans="1:40" x14ac:dyDescent="0.25">
      <c r="A13" t="s">
        <v>123</v>
      </c>
      <c r="B13" t="s">
        <v>125</v>
      </c>
      <c r="C13" t="s">
        <v>120</v>
      </c>
      <c r="D13" s="18">
        <f>D15</f>
        <v>29043877.760978434</v>
      </c>
      <c r="E13" s="18">
        <f t="shared" ref="E13:U13" si="2">E15</f>
        <v>0</v>
      </c>
      <c r="F13" s="18">
        <f t="shared" si="2"/>
        <v>2122689.3295999998</v>
      </c>
      <c r="G13" s="18">
        <f t="shared" si="2"/>
        <v>2184334.2304000002</v>
      </c>
      <c r="H13" s="18">
        <f t="shared" si="2"/>
        <v>2245135.5471999999</v>
      </c>
      <c r="I13" s="18">
        <f t="shared" si="2"/>
        <v>2327754.0552000003</v>
      </c>
      <c r="J13" s="18">
        <f t="shared" si="2"/>
        <v>2413413.9847999997</v>
      </c>
      <c r="K13" s="18">
        <f t="shared" si="2"/>
        <v>2502225.3032</v>
      </c>
      <c r="L13" s="18">
        <f t="shared" si="2"/>
        <v>2594304.0032000002</v>
      </c>
      <c r="M13" s="18">
        <f t="shared" si="2"/>
        <v>2689772.1032000007</v>
      </c>
      <c r="N13" s="18">
        <f t="shared" si="2"/>
        <v>2788754.6343999999</v>
      </c>
      <c r="O13" s="18">
        <f t="shared" si="2"/>
        <v>2891378.1343999999</v>
      </c>
      <c r="P13" s="18">
        <f t="shared" si="2"/>
        <v>2997778.1791999992</v>
      </c>
      <c r="Q13" s="18">
        <f t="shared" si="2"/>
        <v>3108093.3575999993</v>
      </c>
      <c r="R13" s="18">
        <f t="shared" si="2"/>
        <v>3222468.284</v>
      </c>
      <c r="S13" s="18">
        <f t="shared" si="2"/>
        <v>3341052.0919999997</v>
      </c>
      <c r="T13" s="18">
        <f t="shared" si="2"/>
        <v>3463999.9408000004</v>
      </c>
      <c r="U13" s="18">
        <f t="shared" si="2"/>
        <v>3591471.5088</v>
      </c>
    </row>
    <row r="15" spans="1:40" x14ac:dyDescent="0.25">
      <c r="A15" s="2" t="s">
        <v>127</v>
      </c>
      <c r="B15" s="2" t="s">
        <v>242</v>
      </c>
      <c r="C15" s="2"/>
      <c r="D15" s="23">
        <f>D17</f>
        <v>29043877.760978434</v>
      </c>
      <c r="E15" s="23">
        <f t="shared" ref="E15:U15" si="3">E17</f>
        <v>0</v>
      </c>
      <c r="F15" s="23">
        <f t="shared" si="3"/>
        <v>2122689.3295999998</v>
      </c>
      <c r="G15" s="23">
        <f t="shared" si="3"/>
        <v>2184334.2304000002</v>
      </c>
      <c r="H15" s="23">
        <f t="shared" si="3"/>
        <v>2245135.5471999999</v>
      </c>
      <c r="I15" s="23">
        <f t="shared" si="3"/>
        <v>2327754.0552000003</v>
      </c>
      <c r="J15" s="23">
        <f t="shared" si="3"/>
        <v>2413413.9847999997</v>
      </c>
      <c r="K15" s="23">
        <f t="shared" si="3"/>
        <v>2502225.3032</v>
      </c>
      <c r="L15" s="23">
        <f t="shared" si="3"/>
        <v>2594304.0032000002</v>
      </c>
      <c r="M15" s="23">
        <f t="shared" si="3"/>
        <v>2689772.1032000007</v>
      </c>
      <c r="N15" s="23">
        <f t="shared" si="3"/>
        <v>2788754.6343999999</v>
      </c>
      <c r="O15" s="23">
        <f t="shared" si="3"/>
        <v>2891378.1343999999</v>
      </c>
      <c r="P15" s="23">
        <f t="shared" si="3"/>
        <v>2997778.1791999992</v>
      </c>
      <c r="Q15" s="23">
        <f t="shared" si="3"/>
        <v>3108093.3575999993</v>
      </c>
      <c r="R15" s="23">
        <f t="shared" si="3"/>
        <v>3222468.284</v>
      </c>
      <c r="S15" s="23">
        <f t="shared" si="3"/>
        <v>3341052.0919999997</v>
      </c>
      <c r="T15" s="23">
        <f t="shared" si="3"/>
        <v>3463999.9408000004</v>
      </c>
      <c r="U15" s="23">
        <f t="shared" si="3"/>
        <v>3591471.5088</v>
      </c>
    </row>
    <row r="16" spans="1:40" ht="30" x14ac:dyDescent="0.25">
      <c r="A16" t="s">
        <v>129</v>
      </c>
      <c r="B16" s="1" t="s">
        <v>48</v>
      </c>
      <c r="C16" t="s">
        <v>231</v>
      </c>
      <c r="D16" s="25">
        <v>0.7</v>
      </c>
      <c r="V16" s="3"/>
      <c r="W16" s="3"/>
      <c r="X16" s="3"/>
      <c r="Y16" s="3"/>
      <c r="Z16" s="3"/>
      <c r="AA16" s="3"/>
      <c r="AB16" s="3"/>
      <c r="AC16" s="3"/>
      <c r="AD16" s="3"/>
      <c r="AE16" s="3"/>
      <c r="AF16" s="3"/>
      <c r="AG16" s="3"/>
      <c r="AH16" s="3"/>
      <c r="AI16" s="3"/>
      <c r="AJ16" s="3"/>
      <c r="AK16" s="3"/>
      <c r="AL16" s="3"/>
      <c r="AM16" s="3"/>
      <c r="AN16" s="3"/>
    </row>
    <row r="17" spans="1:21" x14ac:dyDescent="0.25">
      <c r="A17" t="s">
        <v>130</v>
      </c>
      <c r="B17" t="s">
        <v>238</v>
      </c>
      <c r="C17" t="s">
        <v>120</v>
      </c>
      <c r="D17" s="18">
        <f>NPV(0.05,F17:U17)</f>
        <v>29043877.760978434</v>
      </c>
      <c r="E17" s="22"/>
      <c r="F17" s="18">
        <f t="shared" ref="F17:U17" si="4">$D$16*F20*$D$21*$F$25+$D$16*F20*$D$22*$F$26</f>
        <v>2122689.3295999998</v>
      </c>
      <c r="G17" s="18">
        <f t="shared" si="4"/>
        <v>2184334.2304000002</v>
      </c>
      <c r="H17" s="18">
        <f t="shared" si="4"/>
        <v>2245135.5471999999</v>
      </c>
      <c r="I17" s="18">
        <f t="shared" si="4"/>
        <v>2327754.0552000003</v>
      </c>
      <c r="J17" s="18">
        <f t="shared" si="4"/>
        <v>2413413.9847999997</v>
      </c>
      <c r="K17" s="18">
        <f t="shared" si="4"/>
        <v>2502225.3032</v>
      </c>
      <c r="L17" s="18">
        <f t="shared" si="4"/>
        <v>2594304.0032000002</v>
      </c>
      <c r="M17" s="18">
        <f t="shared" si="4"/>
        <v>2689772.1032000007</v>
      </c>
      <c r="N17" s="18">
        <f t="shared" si="4"/>
        <v>2788754.6343999999</v>
      </c>
      <c r="O17" s="18">
        <f t="shared" si="4"/>
        <v>2891378.1343999999</v>
      </c>
      <c r="P17" s="18">
        <f t="shared" si="4"/>
        <v>2997778.1791999992</v>
      </c>
      <c r="Q17" s="18">
        <f t="shared" si="4"/>
        <v>3108093.3575999993</v>
      </c>
      <c r="R17" s="18">
        <f t="shared" si="4"/>
        <v>3222468.284</v>
      </c>
      <c r="S17" s="18">
        <f t="shared" si="4"/>
        <v>3341052.0919999997</v>
      </c>
      <c r="T17" s="18">
        <f t="shared" si="4"/>
        <v>3463999.9408000004</v>
      </c>
      <c r="U17" s="18">
        <f t="shared" si="4"/>
        <v>3591471.5088</v>
      </c>
    </row>
    <row r="19" spans="1:21" x14ac:dyDescent="0.25">
      <c r="A19" s="2" t="s">
        <v>147</v>
      </c>
      <c r="B19" s="2" t="s">
        <v>6</v>
      </c>
      <c r="C19" s="2"/>
      <c r="D19" s="2"/>
      <c r="E19" s="2"/>
      <c r="F19" s="2"/>
      <c r="G19" s="2"/>
      <c r="H19" s="2"/>
      <c r="I19" s="2"/>
      <c r="J19" s="2"/>
      <c r="K19" s="2"/>
      <c r="L19" s="2"/>
      <c r="M19" s="2"/>
      <c r="N19" s="2"/>
      <c r="O19" s="2"/>
      <c r="P19" s="2"/>
      <c r="Q19" s="2"/>
      <c r="R19" s="2"/>
      <c r="S19" s="2"/>
      <c r="T19" s="2"/>
      <c r="U19" s="2"/>
    </row>
    <row r="20" spans="1:21" ht="30" x14ac:dyDescent="0.25">
      <c r="A20" s="7" t="s">
        <v>148</v>
      </c>
      <c r="B20" s="1" t="s">
        <v>14</v>
      </c>
      <c r="C20" t="s">
        <v>120</v>
      </c>
      <c r="D20" s="19"/>
      <c r="E20" s="17">
        <v>13579.28</v>
      </c>
      <c r="F20" s="17">
        <v>14091.14</v>
      </c>
      <c r="G20" s="17">
        <v>14500.36</v>
      </c>
      <c r="H20" s="17">
        <v>14903.98</v>
      </c>
      <c r="I20" s="17">
        <v>15452.43</v>
      </c>
      <c r="J20" s="17">
        <v>16021.07</v>
      </c>
      <c r="K20" s="17">
        <v>16610.63</v>
      </c>
      <c r="L20" s="17">
        <v>17221.88</v>
      </c>
      <c r="M20" s="17">
        <v>17855.63</v>
      </c>
      <c r="N20" s="17">
        <v>18512.71</v>
      </c>
      <c r="O20" s="17">
        <v>19193.96</v>
      </c>
      <c r="P20" s="17">
        <v>19900.28</v>
      </c>
      <c r="Q20" s="17">
        <v>20632.59</v>
      </c>
      <c r="R20" s="17">
        <v>21391.85</v>
      </c>
      <c r="S20" s="17">
        <v>22179.05</v>
      </c>
      <c r="T20" s="17">
        <v>22995.22</v>
      </c>
      <c r="U20" s="17">
        <v>23841.42</v>
      </c>
    </row>
    <row r="21" spans="1:21" x14ac:dyDescent="0.25">
      <c r="A21" s="7" t="s">
        <v>149</v>
      </c>
      <c r="B21" t="s">
        <v>34</v>
      </c>
      <c r="C21" t="s">
        <v>231</v>
      </c>
      <c r="D21" s="25">
        <v>0.4</v>
      </c>
    </row>
    <row r="22" spans="1:21" x14ac:dyDescent="0.25">
      <c r="A22" s="7" t="s">
        <v>150</v>
      </c>
      <c r="B22" t="s">
        <v>35</v>
      </c>
      <c r="C22" t="s">
        <v>231</v>
      </c>
      <c r="D22" s="25">
        <v>0.15</v>
      </c>
    </row>
    <row r="24" spans="1:21" x14ac:dyDescent="0.25">
      <c r="A24" s="2" t="s">
        <v>155</v>
      </c>
      <c r="B24" s="2" t="s">
        <v>33</v>
      </c>
      <c r="C24" s="2"/>
      <c r="D24" s="2"/>
      <c r="E24" s="2"/>
      <c r="F24" s="2"/>
      <c r="G24" s="2"/>
      <c r="H24" s="2"/>
      <c r="I24" s="2"/>
      <c r="J24" s="2"/>
      <c r="K24" s="2"/>
      <c r="L24" s="2"/>
      <c r="M24" s="2"/>
      <c r="N24" s="2"/>
      <c r="O24" s="2"/>
      <c r="P24" s="2"/>
      <c r="Q24" s="2"/>
      <c r="R24" s="2"/>
      <c r="S24" s="2"/>
      <c r="T24" s="2"/>
      <c r="U24" s="2"/>
    </row>
    <row r="25" spans="1:21" x14ac:dyDescent="0.25">
      <c r="A25" s="7" t="s">
        <v>156</v>
      </c>
      <c r="B25" t="s">
        <v>36</v>
      </c>
      <c r="C25" t="s">
        <v>144</v>
      </c>
      <c r="D25" s="19">
        <v>1699</v>
      </c>
      <c r="E25" s="19"/>
      <c r="F25" s="19">
        <f>$D$25/4</f>
        <v>424.75</v>
      </c>
      <c r="G25" s="19">
        <f t="shared" ref="G25:L25" si="5">$D$25/4</f>
        <v>424.75</v>
      </c>
      <c r="H25" s="19">
        <f t="shared" si="5"/>
        <v>424.75</v>
      </c>
      <c r="I25" s="19">
        <f t="shared" si="5"/>
        <v>424.75</v>
      </c>
      <c r="J25" s="19">
        <f t="shared" si="5"/>
        <v>424.75</v>
      </c>
      <c r="K25" s="19">
        <f t="shared" si="5"/>
        <v>424.75</v>
      </c>
      <c r="L25" s="19">
        <f t="shared" si="5"/>
        <v>424.75</v>
      </c>
      <c r="M25" s="19"/>
      <c r="N25" s="19"/>
      <c r="O25" s="19"/>
      <c r="P25" s="19"/>
      <c r="Q25" s="19"/>
      <c r="R25" s="19"/>
      <c r="S25" s="19"/>
      <c r="T25" s="19"/>
      <c r="U25" s="19"/>
    </row>
    <row r="26" spans="1:21" x14ac:dyDescent="0.25">
      <c r="A26" t="s">
        <v>157</v>
      </c>
      <c r="B26" t="s">
        <v>37</v>
      </c>
      <c r="C26" t="s">
        <v>144</v>
      </c>
      <c r="D26" s="19">
        <v>604</v>
      </c>
      <c r="E26" s="19"/>
      <c r="F26" s="19">
        <f>$D$26/2</f>
        <v>302</v>
      </c>
      <c r="G26" s="19">
        <f t="shared" ref="G26:L26" si="6">$D$26/2</f>
        <v>302</v>
      </c>
      <c r="H26" s="19">
        <f t="shared" si="6"/>
        <v>302</v>
      </c>
      <c r="I26" s="19">
        <f t="shared" si="6"/>
        <v>302</v>
      </c>
      <c r="J26" s="19">
        <f t="shared" si="6"/>
        <v>302</v>
      </c>
      <c r="K26" s="19">
        <f t="shared" si="6"/>
        <v>302</v>
      </c>
      <c r="L26" s="19">
        <f t="shared" si="6"/>
        <v>302</v>
      </c>
      <c r="M26" s="19"/>
      <c r="N26" s="19"/>
      <c r="O26" s="19"/>
      <c r="P26" s="19"/>
      <c r="Q26" s="19"/>
      <c r="R26" s="19"/>
      <c r="S26" s="19"/>
      <c r="T26" s="19"/>
      <c r="U26" s="19"/>
    </row>
    <row r="28" spans="1:21" x14ac:dyDescent="0.25">
      <c r="A28" s="2" t="s">
        <v>160</v>
      </c>
      <c r="B28" s="36" t="s">
        <v>277</v>
      </c>
      <c r="C28" s="2"/>
      <c r="D28" s="2"/>
      <c r="E28" s="2"/>
      <c r="F28" s="2"/>
      <c r="G28" s="2"/>
      <c r="H28" s="2"/>
      <c r="I28" s="2"/>
      <c r="J28" s="2"/>
      <c r="K28" s="2"/>
      <c r="L28" s="2"/>
      <c r="M28" s="2"/>
      <c r="N28" s="2"/>
      <c r="O28" s="2"/>
      <c r="P28" s="2"/>
      <c r="Q28" s="2"/>
      <c r="R28" s="2"/>
      <c r="S28" s="2"/>
      <c r="T28" s="2"/>
      <c r="U28" s="2"/>
    </row>
    <row r="29" spans="1:21" x14ac:dyDescent="0.25">
      <c r="A29" s="7" t="s">
        <v>158</v>
      </c>
      <c r="B29" t="s">
        <v>268</v>
      </c>
    </row>
    <row r="30" spans="1:21" x14ac:dyDescent="0.25">
      <c r="A30" s="7" t="s">
        <v>159</v>
      </c>
      <c r="B30" t="s">
        <v>269</v>
      </c>
    </row>
  </sheetData>
  <mergeCells count="5">
    <mergeCell ref="B2:B3"/>
    <mergeCell ref="D2:D3"/>
    <mergeCell ref="E1:U1"/>
    <mergeCell ref="A1:A3"/>
    <mergeCell ref="C2:C3"/>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45F45-63FE-4ED2-8F69-31FC8D00B7F4}">
  <sheetPr codeName="Sheet3">
    <tabColor theme="8" tint="0.79998168889431442"/>
  </sheetPr>
  <dimension ref="A1:AI39"/>
  <sheetViews>
    <sheetView workbookViewId="0">
      <selection activeCell="D10" sqref="D10"/>
    </sheetView>
  </sheetViews>
  <sheetFormatPr defaultRowHeight="15" x14ac:dyDescent="0.25"/>
  <cols>
    <col min="2" max="2" width="81.140625" customWidth="1"/>
    <col min="3" max="3" width="11.5703125" customWidth="1"/>
    <col min="4" max="4" width="22.7109375" customWidth="1"/>
    <col min="5" max="5" width="10" customWidth="1"/>
    <col min="6" max="35" width="9.85546875" bestFit="1" customWidth="1"/>
  </cols>
  <sheetData>
    <row r="1" spans="1:35" ht="17.25" customHeight="1" x14ac:dyDescent="0.25">
      <c r="A1" s="42" t="s">
        <v>117</v>
      </c>
      <c r="B1" s="15" t="s">
        <v>97</v>
      </c>
      <c r="C1" s="15" t="s">
        <v>118</v>
      </c>
      <c r="D1" s="15"/>
      <c r="E1" s="40" t="s">
        <v>5</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c r="AE2" s="15">
        <v>2048</v>
      </c>
      <c r="AF2" s="15">
        <v>2049</v>
      </c>
      <c r="AG2" s="15">
        <v>2050</v>
      </c>
      <c r="AH2" s="15">
        <v>2051</v>
      </c>
      <c r="AI2" s="15">
        <v>2052</v>
      </c>
    </row>
    <row r="3" spans="1:35"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c r="AE3" s="15">
        <v>26</v>
      </c>
      <c r="AF3" s="15">
        <v>27</v>
      </c>
      <c r="AG3" s="15">
        <v>28</v>
      </c>
      <c r="AH3" s="15">
        <v>29</v>
      </c>
      <c r="AI3" s="15">
        <v>30</v>
      </c>
    </row>
    <row r="4" spans="1:35" x14ac:dyDescent="0.25">
      <c r="A4" t="s">
        <v>115</v>
      </c>
      <c r="B4" t="s">
        <v>330</v>
      </c>
      <c r="C4" t="s">
        <v>120</v>
      </c>
      <c r="D4" s="18">
        <f>E4+NPV(0.05,F4:L4)</f>
        <v>40129287.513982281</v>
      </c>
      <c r="E4" s="18">
        <f>47305723/8</f>
        <v>5913215.375</v>
      </c>
      <c r="F4" s="18">
        <f t="shared" ref="F4:L4" si="0">47305723/8</f>
        <v>5913215.375</v>
      </c>
      <c r="G4" s="18">
        <f t="shared" si="0"/>
        <v>5913215.375</v>
      </c>
      <c r="H4" s="18">
        <f t="shared" si="0"/>
        <v>5913215.375</v>
      </c>
      <c r="I4" s="18">
        <f t="shared" si="0"/>
        <v>5913215.375</v>
      </c>
      <c r="J4" s="18">
        <f t="shared" si="0"/>
        <v>5913215.375</v>
      </c>
      <c r="K4" s="18">
        <f t="shared" si="0"/>
        <v>5913215.375</v>
      </c>
      <c r="L4" s="18">
        <f t="shared" si="0"/>
        <v>5913215.375</v>
      </c>
      <c r="M4" s="18"/>
      <c r="N4" s="18"/>
      <c r="O4" s="18"/>
      <c r="P4" s="18"/>
      <c r="Q4" s="18"/>
      <c r="R4" s="18"/>
      <c r="S4" s="18"/>
      <c r="T4" s="18"/>
      <c r="U4" s="18"/>
      <c r="V4" s="18"/>
      <c r="W4" s="18"/>
      <c r="X4" s="18"/>
      <c r="Y4" s="18"/>
      <c r="Z4" s="18"/>
      <c r="AA4" s="18"/>
      <c r="AB4" s="18"/>
      <c r="AC4" s="18"/>
      <c r="AD4" s="18"/>
      <c r="AE4" s="18"/>
      <c r="AF4" s="18"/>
      <c r="AG4" s="18"/>
      <c r="AH4" s="18"/>
      <c r="AI4" s="18"/>
    </row>
    <row r="5" spans="1:35" x14ac:dyDescent="0.25">
      <c r="B5" t="s">
        <v>321</v>
      </c>
      <c r="C5" t="s">
        <v>120</v>
      </c>
      <c r="D5" s="18">
        <f>E5+NPV(0.05,F5:L5)</f>
        <v>38432694.164632894</v>
      </c>
      <c r="E5" s="18">
        <f>45305723/8</f>
        <v>5663215.375</v>
      </c>
      <c r="F5" s="18">
        <f t="shared" ref="F5:L5" si="1">45305723/8</f>
        <v>5663215.375</v>
      </c>
      <c r="G5" s="18">
        <f t="shared" si="1"/>
        <v>5663215.375</v>
      </c>
      <c r="H5" s="18">
        <f t="shared" si="1"/>
        <v>5663215.375</v>
      </c>
      <c r="I5" s="18">
        <f t="shared" si="1"/>
        <v>5663215.375</v>
      </c>
      <c r="J5" s="18">
        <f t="shared" si="1"/>
        <v>5663215.375</v>
      </c>
      <c r="K5" s="18">
        <f t="shared" si="1"/>
        <v>5663215.375</v>
      </c>
      <c r="L5" s="18">
        <f t="shared" si="1"/>
        <v>5663215.375</v>
      </c>
      <c r="M5" s="18"/>
      <c r="N5" s="18"/>
      <c r="O5" s="18"/>
      <c r="P5" s="18"/>
      <c r="Q5" s="18"/>
      <c r="R5" s="18"/>
      <c r="S5" s="18"/>
      <c r="T5" s="18"/>
      <c r="U5" s="18"/>
      <c r="V5" s="18"/>
      <c r="W5" s="18"/>
      <c r="X5" s="18"/>
      <c r="Y5" s="18"/>
      <c r="Z5" s="18"/>
      <c r="AA5" s="18"/>
      <c r="AB5" s="18"/>
      <c r="AC5" s="18"/>
      <c r="AD5" s="18"/>
      <c r="AE5" s="18"/>
      <c r="AF5" s="18"/>
      <c r="AG5" s="18"/>
      <c r="AH5" s="18"/>
      <c r="AI5" s="18"/>
    </row>
    <row r="6" spans="1:35" x14ac:dyDescent="0.25">
      <c r="A6" t="s">
        <v>161</v>
      </c>
      <c r="B6" t="s">
        <v>329</v>
      </c>
      <c r="C6" t="s">
        <v>120</v>
      </c>
      <c r="D6" s="18">
        <f>SUM(D13:D14)</f>
        <v>120208244.80408444</v>
      </c>
      <c r="E6" s="18">
        <f t="shared" ref="E6:L6" si="2">SUM(E13:E14)</f>
        <v>0</v>
      </c>
      <c r="F6" s="18">
        <f t="shared" si="2"/>
        <v>7718838.2471428569</v>
      </c>
      <c r="G6" s="18">
        <f t="shared" si="2"/>
        <v>7731841.0199999996</v>
      </c>
      <c r="H6" s="18">
        <f t="shared" si="2"/>
        <v>7744289.2328571426</v>
      </c>
      <c r="I6" s="18">
        <f t="shared" si="2"/>
        <v>7762273.8614285719</v>
      </c>
      <c r="J6" s="18">
        <f t="shared" si="2"/>
        <v>7780882.5657142857</v>
      </c>
      <c r="K6" s="18">
        <f t="shared" si="2"/>
        <v>7800137.4314285712</v>
      </c>
      <c r="L6" s="18">
        <f t="shared" si="2"/>
        <v>7820061.074285714</v>
      </c>
      <c r="M6" s="18">
        <f t="shared" ref="M6:AI6" si="3">SUM(M13:M14)</f>
        <v>7667047.2000000002</v>
      </c>
      <c r="N6" s="18">
        <f t="shared" si="3"/>
        <v>7683548.5414285716</v>
      </c>
      <c r="O6" s="18">
        <f t="shared" si="3"/>
        <v>7700656.3928571427</v>
      </c>
      <c r="P6" s="18">
        <f t="shared" si="3"/>
        <v>7718394.1942857141</v>
      </c>
      <c r="Q6" s="18">
        <f t="shared" si="3"/>
        <v>7736784.9671428567</v>
      </c>
      <c r="R6" s="18">
        <f t="shared" si="3"/>
        <v>7755852.151428571</v>
      </c>
      <c r="S6" s="18">
        <f t="shared" si="3"/>
        <v>7775621.2800000003</v>
      </c>
      <c r="T6" s="18">
        <f t="shared" si="3"/>
        <v>7796117.4671428576</v>
      </c>
      <c r="U6" s="18">
        <f t="shared" si="3"/>
        <v>7817368.3385714283</v>
      </c>
      <c r="V6" s="18">
        <f t="shared" si="3"/>
        <v>7839400.6828571428</v>
      </c>
      <c r="W6" s="18">
        <f t="shared" si="3"/>
        <v>7862244.2185714282</v>
      </c>
      <c r="X6" s="18">
        <f t="shared" si="3"/>
        <v>7885928.2457142854</v>
      </c>
      <c r="Y6" s="18">
        <f t="shared" si="3"/>
        <v>7910483.7385714287</v>
      </c>
      <c r="Z6" s="18">
        <f t="shared" si="3"/>
        <v>7935943.345714286</v>
      </c>
      <c r="AA6" s="18">
        <f t="shared" si="3"/>
        <v>7962339.2971428577</v>
      </c>
      <c r="AB6" s="18">
        <f t="shared" si="3"/>
        <v>7989706.7528571431</v>
      </c>
      <c r="AC6" s="18">
        <f t="shared" si="3"/>
        <v>8018081.2914285716</v>
      </c>
      <c r="AD6" s="18">
        <f t="shared" si="3"/>
        <v>8047500.1657142853</v>
      </c>
      <c r="AE6" s="18">
        <f t="shared" si="3"/>
        <v>8078001.4657142852</v>
      </c>
      <c r="AF6" s="18">
        <f t="shared" si="3"/>
        <v>8109624.9557142854</v>
      </c>
      <c r="AG6" s="18">
        <f t="shared" si="3"/>
        <v>8142412.4928571433</v>
      </c>
      <c r="AH6" s="18">
        <f t="shared" si="3"/>
        <v>8176406.3528571427</v>
      </c>
      <c r="AI6" s="18">
        <f t="shared" si="3"/>
        <v>8211651.3228571424</v>
      </c>
    </row>
    <row r="7" spans="1:35" x14ac:dyDescent="0.25">
      <c r="A7" t="s">
        <v>162</v>
      </c>
      <c r="B7" t="s">
        <v>311</v>
      </c>
      <c r="C7" t="s">
        <v>120</v>
      </c>
      <c r="D7" s="18">
        <f>NPV(0.05,F7:AI7)</f>
        <v>108187420.32367596</v>
      </c>
      <c r="E7" s="22"/>
      <c r="F7" s="18">
        <f>F6*0.9</f>
        <v>6946954.4224285716</v>
      </c>
      <c r="G7" s="18">
        <f t="shared" ref="G7:AI7" si="4">G6*0.9</f>
        <v>6958656.9179999996</v>
      </c>
      <c r="H7" s="18">
        <f t="shared" si="4"/>
        <v>6969860.3095714282</v>
      </c>
      <c r="I7" s="18">
        <f t="shared" si="4"/>
        <v>6986046.4752857145</v>
      </c>
      <c r="J7" s="18">
        <f t="shared" si="4"/>
        <v>7002794.3091428569</v>
      </c>
      <c r="K7" s="18">
        <f t="shared" si="4"/>
        <v>7020123.688285714</v>
      </c>
      <c r="L7" s="18">
        <f t="shared" si="4"/>
        <v>7038054.9668571427</v>
      </c>
      <c r="M7" s="18">
        <f t="shared" si="4"/>
        <v>6900342.4800000004</v>
      </c>
      <c r="N7" s="18">
        <f t="shared" si="4"/>
        <v>6915193.6872857148</v>
      </c>
      <c r="O7" s="18">
        <f t="shared" si="4"/>
        <v>6930590.7535714284</v>
      </c>
      <c r="P7" s="18">
        <f t="shared" si="4"/>
        <v>6946554.7748571429</v>
      </c>
      <c r="Q7" s="18">
        <f t="shared" si="4"/>
        <v>6963106.4704285711</v>
      </c>
      <c r="R7" s="18">
        <f t="shared" si="4"/>
        <v>6980266.9362857137</v>
      </c>
      <c r="S7" s="18">
        <f t="shared" si="4"/>
        <v>6998059.1520000007</v>
      </c>
      <c r="T7" s="18">
        <f t="shared" si="4"/>
        <v>7016505.720428572</v>
      </c>
      <c r="U7" s="18">
        <f t="shared" si="4"/>
        <v>7035631.504714286</v>
      </c>
      <c r="V7" s="18">
        <f t="shared" si="4"/>
        <v>7055460.6145714289</v>
      </c>
      <c r="W7" s="18">
        <f t="shared" si="4"/>
        <v>7076019.7967142854</v>
      </c>
      <c r="X7" s="18">
        <f t="shared" si="4"/>
        <v>7097335.4211428566</v>
      </c>
      <c r="Y7" s="18">
        <f t="shared" si="4"/>
        <v>7119435.3647142863</v>
      </c>
      <c r="Z7" s="18">
        <f t="shared" si="4"/>
        <v>7142349.0111428574</v>
      </c>
      <c r="AA7" s="18">
        <f t="shared" si="4"/>
        <v>7166105.3674285719</v>
      </c>
      <c r="AB7" s="18">
        <f t="shared" si="4"/>
        <v>7190736.0775714293</v>
      </c>
      <c r="AC7" s="18">
        <f t="shared" si="4"/>
        <v>7216273.1622857144</v>
      </c>
      <c r="AD7" s="18">
        <f t="shared" si="4"/>
        <v>7242750.1491428567</v>
      </c>
      <c r="AE7" s="18">
        <f t="shared" si="4"/>
        <v>7270201.3191428566</v>
      </c>
      <c r="AF7" s="18">
        <f t="shared" si="4"/>
        <v>7298662.4601428574</v>
      </c>
      <c r="AG7" s="18">
        <f t="shared" si="4"/>
        <v>7328171.2435714295</v>
      </c>
      <c r="AH7" s="18">
        <f t="shared" si="4"/>
        <v>7358765.717571429</v>
      </c>
      <c r="AI7" s="18">
        <f t="shared" si="4"/>
        <v>7390486.1905714283</v>
      </c>
    </row>
    <row r="8" spans="1:35" x14ac:dyDescent="0.25">
      <c r="D8" s="3"/>
      <c r="F8" s="3"/>
      <c r="G8" s="3"/>
      <c r="H8" s="3"/>
      <c r="I8" s="3"/>
      <c r="J8" s="3"/>
      <c r="K8" s="3"/>
      <c r="L8" s="3"/>
    </row>
    <row r="9" spans="1:35" x14ac:dyDescent="0.25">
      <c r="A9" t="s">
        <v>121</v>
      </c>
      <c r="B9" t="s">
        <v>327</v>
      </c>
      <c r="C9" t="s">
        <v>120</v>
      </c>
      <c r="D9" s="20">
        <f>D6-D4</f>
        <v>80078957.290102154</v>
      </c>
      <c r="N9" s="3"/>
    </row>
    <row r="10" spans="1:35" x14ac:dyDescent="0.25">
      <c r="A10" t="s">
        <v>244</v>
      </c>
      <c r="B10" t="s">
        <v>328</v>
      </c>
      <c r="C10" t="s">
        <v>126</v>
      </c>
      <c r="D10" s="24">
        <f>D6/D4</f>
        <v>2.9955240237494918</v>
      </c>
    </row>
    <row r="11" spans="1:35" x14ac:dyDescent="0.25">
      <c r="A11" t="s">
        <v>245</v>
      </c>
      <c r="B11" t="s">
        <v>248</v>
      </c>
      <c r="C11" t="s">
        <v>126</v>
      </c>
      <c r="D11" s="21">
        <f>D7/D5</f>
        <v>2.8149840305297618</v>
      </c>
    </row>
    <row r="12" spans="1:35" x14ac:dyDescent="0.25">
      <c r="D12" s="9"/>
    </row>
    <row r="13" spans="1:35" x14ac:dyDescent="0.25">
      <c r="A13" t="s">
        <v>122</v>
      </c>
      <c r="B13" t="s">
        <v>124</v>
      </c>
      <c r="C13" t="s">
        <v>120</v>
      </c>
      <c r="D13" s="18">
        <f>SUM(E13:L13)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c r="AE13" s="18">
        <v>0</v>
      </c>
      <c r="AF13" s="18">
        <v>0</v>
      </c>
      <c r="AG13" s="18">
        <v>0</v>
      </c>
      <c r="AH13" s="18">
        <v>0</v>
      </c>
      <c r="AI13" s="18">
        <v>0</v>
      </c>
    </row>
    <row r="14" spans="1:35" x14ac:dyDescent="0.25">
      <c r="A14" t="s">
        <v>123</v>
      </c>
      <c r="B14" t="s">
        <v>326</v>
      </c>
      <c r="C14" t="s">
        <v>120</v>
      </c>
      <c r="D14" s="18">
        <f>SUM(D16,D24)</f>
        <v>120208244.80408444</v>
      </c>
      <c r="E14" s="18">
        <f t="shared" ref="E14:L14" si="5">SUM(E16,E24)</f>
        <v>0</v>
      </c>
      <c r="F14" s="18">
        <f t="shared" si="5"/>
        <v>7718838.2471428569</v>
      </c>
      <c r="G14" s="18">
        <f t="shared" si="5"/>
        <v>7731841.0199999996</v>
      </c>
      <c r="H14" s="18">
        <f t="shared" si="5"/>
        <v>7744289.2328571426</v>
      </c>
      <c r="I14" s="18">
        <f t="shared" si="5"/>
        <v>7762273.8614285719</v>
      </c>
      <c r="J14" s="18">
        <f t="shared" si="5"/>
        <v>7780882.5657142857</v>
      </c>
      <c r="K14" s="18">
        <f t="shared" si="5"/>
        <v>7800137.4314285712</v>
      </c>
      <c r="L14" s="18">
        <f t="shared" si="5"/>
        <v>7820061.074285714</v>
      </c>
      <c r="M14" s="18">
        <f t="shared" ref="M14:AI14" si="6">SUM(M16,M24)</f>
        <v>7667047.2000000002</v>
      </c>
      <c r="N14" s="18">
        <f t="shared" si="6"/>
        <v>7683548.5414285716</v>
      </c>
      <c r="O14" s="18">
        <f t="shared" si="6"/>
        <v>7700656.3928571427</v>
      </c>
      <c r="P14" s="18">
        <f t="shared" si="6"/>
        <v>7718394.1942857141</v>
      </c>
      <c r="Q14" s="18">
        <f t="shared" si="6"/>
        <v>7736784.9671428567</v>
      </c>
      <c r="R14" s="18">
        <f t="shared" si="6"/>
        <v>7755852.151428571</v>
      </c>
      <c r="S14" s="18">
        <f t="shared" si="6"/>
        <v>7775621.2800000003</v>
      </c>
      <c r="T14" s="18">
        <f t="shared" si="6"/>
        <v>7796117.4671428576</v>
      </c>
      <c r="U14" s="18">
        <f t="shared" si="6"/>
        <v>7817368.3385714283</v>
      </c>
      <c r="V14" s="18">
        <f t="shared" si="6"/>
        <v>7839400.6828571428</v>
      </c>
      <c r="W14" s="18">
        <f t="shared" si="6"/>
        <v>7862244.2185714282</v>
      </c>
      <c r="X14" s="18">
        <f t="shared" si="6"/>
        <v>7885928.2457142854</v>
      </c>
      <c r="Y14" s="18">
        <f t="shared" si="6"/>
        <v>7910483.7385714287</v>
      </c>
      <c r="Z14" s="18">
        <f t="shared" si="6"/>
        <v>7935943.345714286</v>
      </c>
      <c r="AA14" s="18">
        <f t="shared" si="6"/>
        <v>7962339.2971428577</v>
      </c>
      <c r="AB14" s="18">
        <f t="shared" si="6"/>
        <v>7989706.7528571431</v>
      </c>
      <c r="AC14" s="18">
        <f t="shared" si="6"/>
        <v>8018081.2914285716</v>
      </c>
      <c r="AD14" s="18">
        <f t="shared" si="6"/>
        <v>8047500.1657142853</v>
      </c>
      <c r="AE14" s="18">
        <f t="shared" si="6"/>
        <v>8078001.4657142852</v>
      </c>
      <c r="AF14" s="18">
        <f t="shared" si="6"/>
        <v>8109624.9557142854</v>
      </c>
      <c r="AG14" s="18">
        <f t="shared" si="6"/>
        <v>8142412.4928571433</v>
      </c>
      <c r="AH14" s="18">
        <f t="shared" si="6"/>
        <v>8176406.3528571427</v>
      </c>
      <c r="AI14" s="18">
        <f t="shared" si="6"/>
        <v>8211651.3228571424</v>
      </c>
    </row>
    <row r="16" spans="1:35" x14ac:dyDescent="0.25">
      <c r="A16" s="2" t="s">
        <v>127</v>
      </c>
      <c r="B16" s="2" t="s">
        <v>242</v>
      </c>
      <c r="C16" s="2"/>
      <c r="D16" s="23">
        <f>SUM(D18,D20,D22)</f>
        <v>9240054.9233869631</v>
      </c>
      <c r="E16" s="23">
        <f t="shared" ref="E16:L16" si="7">SUM(E18,E20,E22)</f>
        <v>0</v>
      </c>
      <c r="F16" s="23">
        <f t="shared" si="7"/>
        <v>500198.24714285712</v>
      </c>
      <c r="G16" s="23">
        <f t="shared" si="7"/>
        <v>513201.02</v>
      </c>
      <c r="H16" s="23">
        <f t="shared" si="7"/>
        <v>525649.23285714281</v>
      </c>
      <c r="I16" s="23">
        <f t="shared" si="7"/>
        <v>543633.8614285714</v>
      </c>
      <c r="J16" s="23">
        <f t="shared" si="7"/>
        <v>562242.56571428571</v>
      </c>
      <c r="K16" s="23">
        <f t="shared" si="7"/>
        <v>581497.43142857146</v>
      </c>
      <c r="L16" s="23">
        <f t="shared" si="7"/>
        <v>601421.07428571431</v>
      </c>
      <c r="M16" s="23">
        <f t="shared" ref="M16:AI16" si="8">SUM(M18,M20,M22)</f>
        <v>448407.19999999995</v>
      </c>
      <c r="N16" s="23">
        <f t="shared" si="8"/>
        <v>464908.54142857145</v>
      </c>
      <c r="O16" s="23">
        <f t="shared" si="8"/>
        <v>482016.39285714284</v>
      </c>
      <c r="P16" s="23">
        <f t="shared" si="8"/>
        <v>499754.1942857143</v>
      </c>
      <c r="Q16" s="23">
        <f t="shared" si="8"/>
        <v>518144.96714285709</v>
      </c>
      <c r="R16" s="23">
        <f t="shared" si="8"/>
        <v>537212.15142857144</v>
      </c>
      <c r="S16" s="23">
        <f t="shared" si="8"/>
        <v>556981.27999999991</v>
      </c>
      <c r="T16" s="23">
        <f t="shared" si="8"/>
        <v>577477.46714285715</v>
      </c>
      <c r="U16" s="23">
        <f t="shared" si="8"/>
        <v>598728.33857142855</v>
      </c>
      <c r="V16" s="23">
        <f t="shared" si="8"/>
        <v>620760.68285714276</v>
      </c>
      <c r="W16" s="23">
        <f t="shared" si="8"/>
        <v>643604.21857142856</v>
      </c>
      <c r="X16" s="23">
        <f t="shared" si="8"/>
        <v>667288.24571428576</v>
      </c>
      <c r="Y16" s="23">
        <f t="shared" si="8"/>
        <v>691843.73857142858</v>
      </c>
      <c r="Z16" s="23">
        <f t="shared" si="8"/>
        <v>717303.34571428562</v>
      </c>
      <c r="AA16" s="23">
        <f t="shared" si="8"/>
        <v>743699.29714285722</v>
      </c>
      <c r="AB16" s="23">
        <f t="shared" si="8"/>
        <v>771066.75285714283</v>
      </c>
      <c r="AC16" s="23">
        <f t="shared" si="8"/>
        <v>799441.29142857133</v>
      </c>
      <c r="AD16" s="23">
        <f t="shared" si="8"/>
        <v>828860.16571428569</v>
      </c>
      <c r="AE16" s="23">
        <f t="shared" si="8"/>
        <v>859361.46571428562</v>
      </c>
      <c r="AF16" s="23">
        <f t="shared" si="8"/>
        <v>890984.95571428584</v>
      </c>
      <c r="AG16" s="23">
        <f t="shared" si="8"/>
        <v>923772.49285714293</v>
      </c>
      <c r="AH16" s="23">
        <f t="shared" si="8"/>
        <v>957766.35285714292</v>
      </c>
      <c r="AI16" s="23">
        <f t="shared" si="8"/>
        <v>993011.32285714278</v>
      </c>
    </row>
    <row r="17" spans="1:35" x14ac:dyDescent="0.25">
      <c r="A17" t="s">
        <v>129</v>
      </c>
      <c r="B17" t="s">
        <v>0</v>
      </c>
      <c r="C17" t="s">
        <v>144</v>
      </c>
      <c r="D17" s="19">
        <v>275</v>
      </c>
      <c r="E17" s="17"/>
      <c r="F17" s="17">
        <f>$D$17/$L$3</f>
        <v>39.285714285714285</v>
      </c>
      <c r="G17" s="17">
        <f>$D$17/$L$3</f>
        <v>39.285714285714285</v>
      </c>
      <c r="H17" s="17">
        <f t="shared" ref="H17:L17" si="9">$D$17/$L$3</f>
        <v>39.285714285714285</v>
      </c>
      <c r="I17" s="17">
        <f t="shared" si="9"/>
        <v>39.285714285714285</v>
      </c>
      <c r="J17" s="17">
        <f t="shared" si="9"/>
        <v>39.285714285714285</v>
      </c>
      <c r="K17" s="17">
        <f t="shared" si="9"/>
        <v>39.285714285714285</v>
      </c>
      <c r="L17" s="17">
        <f t="shared" si="9"/>
        <v>39.285714285714285</v>
      </c>
      <c r="M17" s="17">
        <f>L17</f>
        <v>39.285714285714285</v>
      </c>
      <c r="N17" s="17">
        <f t="shared" ref="N17:AI17" si="10">M17</f>
        <v>39.285714285714285</v>
      </c>
      <c r="O17" s="17">
        <f t="shared" si="10"/>
        <v>39.285714285714285</v>
      </c>
      <c r="P17" s="17">
        <f t="shared" si="10"/>
        <v>39.285714285714285</v>
      </c>
      <c r="Q17" s="17">
        <f t="shared" si="10"/>
        <v>39.285714285714285</v>
      </c>
      <c r="R17" s="17">
        <f t="shared" si="10"/>
        <v>39.285714285714285</v>
      </c>
      <c r="S17" s="17">
        <f t="shared" si="10"/>
        <v>39.285714285714285</v>
      </c>
      <c r="T17" s="17">
        <f t="shared" si="10"/>
        <v>39.285714285714285</v>
      </c>
      <c r="U17" s="17">
        <f t="shared" si="10"/>
        <v>39.285714285714285</v>
      </c>
      <c r="V17" s="17">
        <f t="shared" si="10"/>
        <v>39.285714285714285</v>
      </c>
      <c r="W17" s="17">
        <f t="shared" si="10"/>
        <v>39.285714285714285</v>
      </c>
      <c r="X17" s="17">
        <f t="shared" si="10"/>
        <v>39.285714285714285</v>
      </c>
      <c r="Y17" s="17">
        <f t="shared" si="10"/>
        <v>39.285714285714285</v>
      </c>
      <c r="Z17" s="17">
        <f t="shared" si="10"/>
        <v>39.285714285714285</v>
      </c>
      <c r="AA17" s="17">
        <f t="shared" si="10"/>
        <v>39.285714285714285</v>
      </c>
      <c r="AB17" s="17">
        <f t="shared" si="10"/>
        <v>39.285714285714285</v>
      </c>
      <c r="AC17" s="17">
        <f t="shared" si="10"/>
        <v>39.285714285714285</v>
      </c>
      <c r="AD17" s="17">
        <f t="shared" si="10"/>
        <v>39.285714285714285</v>
      </c>
      <c r="AE17" s="17">
        <f t="shared" si="10"/>
        <v>39.285714285714285</v>
      </c>
      <c r="AF17" s="17">
        <f t="shared" si="10"/>
        <v>39.285714285714285</v>
      </c>
      <c r="AG17" s="17">
        <f t="shared" si="10"/>
        <v>39.285714285714285</v>
      </c>
      <c r="AH17" s="17">
        <f t="shared" si="10"/>
        <v>39.285714285714285</v>
      </c>
      <c r="AI17" s="17">
        <f t="shared" si="10"/>
        <v>39.285714285714285</v>
      </c>
    </row>
    <row r="18" spans="1:35" x14ac:dyDescent="0.25">
      <c r="A18" t="s">
        <v>130</v>
      </c>
      <c r="B18" t="s">
        <v>289</v>
      </c>
      <c r="C18" t="s">
        <v>120</v>
      </c>
      <c r="D18" s="18">
        <f>NPV(0.05,F18:AI18)</f>
        <v>7826478.4691772498</v>
      </c>
      <c r="E18" s="18">
        <f t="shared" ref="E18:L18" si="11">E17*E28</f>
        <v>0</v>
      </c>
      <c r="F18" s="18">
        <f t="shared" si="11"/>
        <v>332130.46428571426</v>
      </c>
      <c r="G18" s="18">
        <f t="shared" si="11"/>
        <v>341775.89285714284</v>
      </c>
      <c r="H18" s="18">
        <f t="shared" si="11"/>
        <v>351289.32142857142</v>
      </c>
      <c r="I18" s="18">
        <f t="shared" si="11"/>
        <v>364216.28571428568</v>
      </c>
      <c r="J18" s="18">
        <f t="shared" si="11"/>
        <v>377619</v>
      </c>
      <c r="K18" s="18">
        <f t="shared" si="11"/>
        <v>391515.14285714284</v>
      </c>
      <c r="L18" s="18">
        <f t="shared" si="11"/>
        <v>405922.78571428568</v>
      </c>
      <c r="M18" s="18">
        <f t="shared" ref="M18:AI18" si="12">M17*M28</f>
        <v>420859.99999999994</v>
      </c>
      <c r="N18" s="18">
        <f t="shared" si="12"/>
        <v>436347.60714285716</v>
      </c>
      <c r="O18" s="18">
        <f t="shared" si="12"/>
        <v>452404.46428571426</v>
      </c>
      <c r="P18" s="18">
        <f t="shared" si="12"/>
        <v>469052.57142857142</v>
      </c>
      <c r="Q18" s="18">
        <f t="shared" si="12"/>
        <v>486313.53571428568</v>
      </c>
      <c r="R18" s="18">
        <f t="shared" si="12"/>
        <v>504209.35714285716</v>
      </c>
      <c r="S18" s="18">
        <f t="shared" si="12"/>
        <v>522763.99999999994</v>
      </c>
      <c r="T18" s="18">
        <f t="shared" si="12"/>
        <v>542001.03571428568</v>
      </c>
      <c r="U18" s="18">
        <f t="shared" si="12"/>
        <v>561946.39285714284</v>
      </c>
      <c r="V18" s="18">
        <f t="shared" si="12"/>
        <v>582625.2142857142</v>
      </c>
      <c r="W18" s="18">
        <f t="shared" si="12"/>
        <v>604065.39285714284</v>
      </c>
      <c r="X18" s="18">
        <f t="shared" si="12"/>
        <v>626294.42857142864</v>
      </c>
      <c r="Y18" s="18">
        <f t="shared" si="12"/>
        <v>649341.39285714284</v>
      </c>
      <c r="Z18" s="18">
        <f t="shared" si="12"/>
        <v>673236.92857142852</v>
      </c>
      <c r="AA18" s="18">
        <f t="shared" si="12"/>
        <v>698011.2857142858</v>
      </c>
      <c r="AB18" s="18">
        <f t="shared" si="12"/>
        <v>723697.4642857142</v>
      </c>
      <c r="AC18" s="18">
        <f t="shared" si="12"/>
        <v>750328.85714285704</v>
      </c>
      <c r="AD18" s="18">
        <f t="shared" si="12"/>
        <v>777940.42857142852</v>
      </c>
      <c r="AE18" s="18">
        <f t="shared" si="12"/>
        <v>806567.92857142852</v>
      </c>
      <c r="AF18" s="18">
        <f t="shared" si="12"/>
        <v>836248.67857142864</v>
      </c>
      <c r="AG18" s="18">
        <f t="shared" si="12"/>
        <v>867021.96428571432</v>
      </c>
      <c r="AH18" s="18">
        <f t="shared" si="12"/>
        <v>898927.46428571432</v>
      </c>
      <c r="AI18" s="18">
        <f t="shared" si="12"/>
        <v>932007.2142857142</v>
      </c>
    </row>
    <row r="19" spans="1:35" x14ac:dyDescent="0.25">
      <c r="A19" t="s">
        <v>131</v>
      </c>
      <c r="B19" t="s">
        <v>1</v>
      </c>
      <c r="C19" t="s">
        <v>144</v>
      </c>
      <c r="D19" s="19">
        <v>13</v>
      </c>
      <c r="E19" s="17"/>
      <c r="F19" s="17">
        <f t="shared" ref="F19:L19" si="13">$D$19/$L$3</f>
        <v>1.8571428571428572</v>
      </c>
      <c r="G19" s="17">
        <f t="shared" si="13"/>
        <v>1.8571428571428572</v>
      </c>
      <c r="H19" s="17">
        <f t="shared" si="13"/>
        <v>1.8571428571428572</v>
      </c>
      <c r="I19" s="17">
        <f t="shared" si="13"/>
        <v>1.8571428571428572</v>
      </c>
      <c r="J19" s="17">
        <f t="shared" si="13"/>
        <v>1.8571428571428572</v>
      </c>
      <c r="K19" s="17">
        <f t="shared" si="13"/>
        <v>1.8571428571428572</v>
      </c>
      <c r="L19" s="17">
        <f t="shared" si="13"/>
        <v>1.8571428571428572</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row>
    <row r="20" spans="1:35" ht="17.25" customHeight="1" x14ac:dyDescent="0.25">
      <c r="A20" t="s">
        <v>132</v>
      </c>
      <c r="B20" t="s">
        <v>290</v>
      </c>
      <c r="C20" t="s">
        <v>120</v>
      </c>
      <c r="D20" s="18">
        <f>NPV(0.05,F20:AI20)</f>
        <v>901297.86349992966</v>
      </c>
      <c r="E20" s="18">
        <f t="shared" ref="E20:L20" si="14">E19*E29</f>
        <v>0</v>
      </c>
      <c r="F20" s="18">
        <f t="shared" si="14"/>
        <v>146328.33428571429</v>
      </c>
      <c r="G20" s="18">
        <f t="shared" si="14"/>
        <v>149054.34142857144</v>
      </c>
      <c r="H20" s="18">
        <f t="shared" si="14"/>
        <v>151366.42857142858</v>
      </c>
      <c r="I20" s="18">
        <f t="shared" si="14"/>
        <v>155577.96428571429</v>
      </c>
      <c r="J20" s="18">
        <f t="shared" si="14"/>
        <v>159906.68571428573</v>
      </c>
      <c r="K20" s="18">
        <f t="shared" si="14"/>
        <v>164355.84285714288</v>
      </c>
      <c r="L20" s="18">
        <f t="shared" si="14"/>
        <v>168928.79714285716</v>
      </c>
      <c r="M20" s="18">
        <f t="shared" ref="M20:AI20" si="15">M19*M29</f>
        <v>0</v>
      </c>
      <c r="N20" s="18">
        <f t="shared" si="15"/>
        <v>0</v>
      </c>
      <c r="O20" s="18">
        <f t="shared" si="15"/>
        <v>0</v>
      </c>
      <c r="P20" s="18">
        <f t="shared" si="15"/>
        <v>0</v>
      </c>
      <c r="Q20" s="18">
        <f t="shared" si="15"/>
        <v>0</v>
      </c>
      <c r="R20" s="18">
        <f t="shared" si="15"/>
        <v>0</v>
      </c>
      <c r="S20" s="18">
        <f t="shared" si="15"/>
        <v>0</v>
      </c>
      <c r="T20" s="18">
        <f t="shared" si="15"/>
        <v>0</v>
      </c>
      <c r="U20" s="18">
        <f t="shared" si="15"/>
        <v>0</v>
      </c>
      <c r="V20" s="18">
        <f t="shared" si="15"/>
        <v>0</v>
      </c>
      <c r="W20" s="18">
        <f t="shared" si="15"/>
        <v>0</v>
      </c>
      <c r="X20" s="18">
        <f t="shared" si="15"/>
        <v>0</v>
      </c>
      <c r="Y20" s="18">
        <f t="shared" si="15"/>
        <v>0</v>
      </c>
      <c r="Z20" s="18">
        <f t="shared" si="15"/>
        <v>0</v>
      </c>
      <c r="AA20" s="18">
        <f t="shared" si="15"/>
        <v>0</v>
      </c>
      <c r="AB20" s="18">
        <f t="shared" si="15"/>
        <v>0</v>
      </c>
      <c r="AC20" s="18">
        <f t="shared" si="15"/>
        <v>0</v>
      </c>
      <c r="AD20" s="18">
        <f t="shared" si="15"/>
        <v>0</v>
      </c>
      <c r="AE20" s="18">
        <f t="shared" si="15"/>
        <v>0</v>
      </c>
      <c r="AF20" s="18">
        <f t="shared" si="15"/>
        <v>0</v>
      </c>
      <c r="AG20" s="18">
        <f t="shared" si="15"/>
        <v>0</v>
      </c>
      <c r="AH20" s="18">
        <f t="shared" si="15"/>
        <v>0</v>
      </c>
      <c r="AI20" s="18">
        <f t="shared" si="15"/>
        <v>0</v>
      </c>
    </row>
    <row r="21" spans="1:35" x14ac:dyDescent="0.25">
      <c r="A21" t="s">
        <v>133</v>
      </c>
      <c r="B21" t="s">
        <v>2</v>
      </c>
      <c r="C21" t="s">
        <v>144</v>
      </c>
      <c r="D21" s="19">
        <v>18</v>
      </c>
      <c r="E21" s="17"/>
      <c r="F21" s="17">
        <f t="shared" ref="F21:L21" si="16">$D$21/$L$3</f>
        <v>2.5714285714285716</v>
      </c>
      <c r="G21" s="17">
        <f t="shared" si="16"/>
        <v>2.5714285714285716</v>
      </c>
      <c r="H21" s="17">
        <f t="shared" si="16"/>
        <v>2.5714285714285716</v>
      </c>
      <c r="I21" s="17">
        <f t="shared" si="16"/>
        <v>2.5714285714285716</v>
      </c>
      <c r="J21" s="17">
        <f t="shared" si="16"/>
        <v>2.5714285714285716</v>
      </c>
      <c r="K21" s="17">
        <f t="shared" si="16"/>
        <v>2.5714285714285716</v>
      </c>
      <c r="L21" s="17">
        <f t="shared" si="16"/>
        <v>2.5714285714285716</v>
      </c>
      <c r="M21" s="17">
        <f>L21</f>
        <v>2.5714285714285716</v>
      </c>
      <c r="N21" s="17">
        <f t="shared" ref="N21:AI21" si="17">M21</f>
        <v>2.5714285714285716</v>
      </c>
      <c r="O21" s="17">
        <f t="shared" si="17"/>
        <v>2.5714285714285716</v>
      </c>
      <c r="P21" s="17">
        <f t="shared" si="17"/>
        <v>2.5714285714285716</v>
      </c>
      <c r="Q21" s="17">
        <f t="shared" si="17"/>
        <v>2.5714285714285716</v>
      </c>
      <c r="R21" s="17">
        <f t="shared" si="17"/>
        <v>2.5714285714285716</v>
      </c>
      <c r="S21" s="17">
        <f t="shared" si="17"/>
        <v>2.5714285714285716</v>
      </c>
      <c r="T21" s="17">
        <f t="shared" si="17"/>
        <v>2.5714285714285716</v>
      </c>
      <c r="U21" s="17">
        <f t="shared" si="17"/>
        <v>2.5714285714285716</v>
      </c>
      <c r="V21" s="17">
        <f t="shared" si="17"/>
        <v>2.5714285714285716</v>
      </c>
      <c r="W21" s="17">
        <f t="shared" si="17"/>
        <v>2.5714285714285716</v>
      </c>
      <c r="X21" s="17">
        <f t="shared" si="17"/>
        <v>2.5714285714285716</v>
      </c>
      <c r="Y21" s="17">
        <f t="shared" si="17"/>
        <v>2.5714285714285716</v>
      </c>
      <c r="Z21" s="17">
        <f t="shared" si="17"/>
        <v>2.5714285714285716</v>
      </c>
      <c r="AA21" s="17">
        <f t="shared" si="17"/>
        <v>2.5714285714285716</v>
      </c>
      <c r="AB21" s="17">
        <f t="shared" si="17"/>
        <v>2.5714285714285716</v>
      </c>
      <c r="AC21" s="17">
        <f t="shared" si="17"/>
        <v>2.5714285714285716</v>
      </c>
      <c r="AD21" s="17">
        <f t="shared" si="17"/>
        <v>2.5714285714285716</v>
      </c>
      <c r="AE21" s="17">
        <f t="shared" si="17"/>
        <v>2.5714285714285716</v>
      </c>
      <c r="AF21" s="17">
        <f t="shared" si="17"/>
        <v>2.5714285714285716</v>
      </c>
      <c r="AG21" s="17">
        <f t="shared" si="17"/>
        <v>2.5714285714285716</v>
      </c>
      <c r="AH21" s="17">
        <f t="shared" si="17"/>
        <v>2.5714285714285716</v>
      </c>
      <c r="AI21" s="17">
        <f t="shared" si="17"/>
        <v>2.5714285714285716</v>
      </c>
    </row>
    <row r="22" spans="1:35" x14ac:dyDescent="0.25">
      <c r="A22" t="s">
        <v>134</v>
      </c>
      <c r="B22" t="s">
        <v>295</v>
      </c>
      <c r="C22" t="s">
        <v>120</v>
      </c>
      <c r="D22" s="18">
        <f>NPV(0.05,F22:AI22)</f>
        <v>512278.59070978372</v>
      </c>
      <c r="E22" s="18">
        <f t="shared" ref="E22:L22" si="18">E21*E28</f>
        <v>0</v>
      </c>
      <c r="F22" s="18">
        <f t="shared" si="18"/>
        <v>21739.448571428573</v>
      </c>
      <c r="G22" s="18">
        <f t="shared" si="18"/>
        <v>22370.785714285717</v>
      </c>
      <c r="H22" s="18">
        <f t="shared" si="18"/>
        <v>22993.482857142859</v>
      </c>
      <c r="I22" s="18">
        <f t="shared" si="18"/>
        <v>23839.611428571428</v>
      </c>
      <c r="J22" s="18">
        <f t="shared" si="18"/>
        <v>24716.880000000005</v>
      </c>
      <c r="K22" s="18">
        <f t="shared" si="18"/>
        <v>25626.445714285717</v>
      </c>
      <c r="L22" s="18">
        <f t="shared" si="18"/>
        <v>26569.491428571429</v>
      </c>
      <c r="M22" s="18">
        <f t="shared" ref="M22:AI22" si="19">M21*M28</f>
        <v>27547.200000000001</v>
      </c>
      <c r="N22" s="18">
        <f t="shared" si="19"/>
        <v>28560.934285714291</v>
      </c>
      <c r="O22" s="18">
        <f t="shared" si="19"/>
        <v>29611.928571428572</v>
      </c>
      <c r="P22" s="18">
        <f t="shared" si="19"/>
        <v>30701.622857142862</v>
      </c>
      <c r="Q22" s="18">
        <f t="shared" si="19"/>
        <v>31831.431428571428</v>
      </c>
      <c r="R22" s="18">
        <f t="shared" si="19"/>
        <v>33002.794285714292</v>
      </c>
      <c r="S22" s="18">
        <f t="shared" si="19"/>
        <v>34217.279999999999</v>
      </c>
      <c r="T22" s="18">
        <f t="shared" si="19"/>
        <v>35476.431428571428</v>
      </c>
      <c r="U22" s="18">
        <f t="shared" si="19"/>
        <v>36781.945714285721</v>
      </c>
      <c r="V22" s="18">
        <f t="shared" si="19"/>
        <v>38135.468571428573</v>
      </c>
      <c r="W22" s="18">
        <f t="shared" si="19"/>
        <v>39538.825714285718</v>
      </c>
      <c r="X22" s="18">
        <f t="shared" si="19"/>
        <v>40993.817142857151</v>
      </c>
      <c r="Y22" s="18">
        <f t="shared" si="19"/>
        <v>42502.345714285715</v>
      </c>
      <c r="Z22" s="18">
        <f t="shared" si="19"/>
        <v>44066.417142857143</v>
      </c>
      <c r="AA22" s="18">
        <f t="shared" si="19"/>
        <v>45688.011428571437</v>
      </c>
      <c r="AB22" s="18">
        <f t="shared" si="19"/>
        <v>47369.288571428573</v>
      </c>
      <c r="AC22" s="18">
        <f t="shared" si="19"/>
        <v>49112.434285714284</v>
      </c>
      <c r="AD22" s="18">
        <f t="shared" si="19"/>
        <v>50919.737142857142</v>
      </c>
      <c r="AE22" s="18">
        <f t="shared" si="19"/>
        <v>52793.537142857145</v>
      </c>
      <c r="AF22" s="18">
        <f t="shared" si="19"/>
        <v>54736.27714285715</v>
      </c>
      <c r="AG22" s="18">
        <f t="shared" si="19"/>
        <v>56750.528571428578</v>
      </c>
      <c r="AH22" s="18">
        <f t="shared" si="19"/>
        <v>58838.888571428579</v>
      </c>
      <c r="AI22" s="18">
        <f t="shared" si="19"/>
        <v>61004.108571428573</v>
      </c>
    </row>
    <row r="23" spans="1:35" ht="17.25" customHeight="1" x14ac:dyDescent="0.25"/>
    <row r="24" spans="1:35" ht="15" customHeight="1" x14ac:dyDescent="0.25">
      <c r="A24" s="2" t="s">
        <v>135</v>
      </c>
      <c r="B24" s="2" t="s">
        <v>128</v>
      </c>
      <c r="C24" s="2"/>
      <c r="D24" s="23">
        <f t="shared" ref="D24" si="20">SUM(D25)</f>
        <v>110968189.88069747</v>
      </c>
      <c r="E24" s="23">
        <f t="shared" ref="E24" si="21">SUM(E25)</f>
        <v>0</v>
      </c>
      <c r="F24" s="23">
        <f t="shared" ref="F24:AI24" si="22">SUM(F25)</f>
        <v>7218640</v>
      </c>
      <c r="G24" s="23">
        <f t="shared" si="22"/>
        <v>7218640</v>
      </c>
      <c r="H24" s="23">
        <f t="shared" si="22"/>
        <v>7218640</v>
      </c>
      <c r="I24" s="23">
        <f t="shared" si="22"/>
        <v>7218640</v>
      </c>
      <c r="J24" s="23">
        <f t="shared" si="22"/>
        <v>7218640</v>
      </c>
      <c r="K24" s="23">
        <f t="shared" si="22"/>
        <v>7218640</v>
      </c>
      <c r="L24" s="23">
        <f t="shared" si="22"/>
        <v>7218640</v>
      </c>
      <c r="M24" s="23">
        <f t="shared" si="22"/>
        <v>7218640</v>
      </c>
      <c r="N24" s="23">
        <f t="shared" si="22"/>
        <v>7218640</v>
      </c>
      <c r="O24" s="23">
        <f t="shared" si="22"/>
        <v>7218640</v>
      </c>
      <c r="P24" s="23">
        <f t="shared" si="22"/>
        <v>7218640</v>
      </c>
      <c r="Q24" s="23">
        <f t="shared" si="22"/>
        <v>7218640</v>
      </c>
      <c r="R24" s="23">
        <f t="shared" si="22"/>
        <v>7218640</v>
      </c>
      <c r="S24" s="23">
        <f t="shared" si="22"/>
        <v>7218640</v>
      </c>
      <c r="T24" s="23">
        <f t="shared" si="22"/>
        <v>7218640</v>
      </c>
      <c r="U24" s="23">
        <f t="shared" si="22"/>
        <v>7218640</v>
      </c>
      <c r="V24" s="23">
        <f t="shared" si="22"/>
        <v>7218640</v>
      </c>
      <c r="W24" s="23">
        <f t="shared" si="22"/>
        <v>7218640</v>
      </c>
      <c r="X24" s="23">
        <f t="shared" si="22"/>
        <v>7218640</v>
      </c>
      <c r="Y24" s="23">
        <f t="shared" si="22"/>
        <v>7218640</v>
      </c>
      <c r="Z24" s="23">
        <f t="shared" si="22"/>
        <v>7218640</v>
      </c>
      <c r="AA24" s="23">
        <f t="shared" si="22"/>
        <v>7218640</v>
      </c>
      <c r="AB24" s="23">
        <f t="shared" si="22"/>
        <v>7218640</v>
      </c>
      <c r="AC24" s="23">
        <f t="shared" si="22"/>
        <v>7218640</v>
      </c>
      <c r="AD24" s="23">
        <f t="shared" si="22"/>
        <v>7218640</v>
      </c>
      <c r="AE24" s="23">
        <f t="shared" si="22"/>
        <v>7218640</v>
      </c>
      <c r="AF24" s="23">
        <f t="shared" si="22"/>
        <v>7218640</v>
      </c>
      <c r="AG24" s="23">
        <f t="shared" si="22"/>
        <v>7218640</v>
      </c>
      <c r="AH24" s="23">
        <f t="shared" si="22"/>
        <v>7218640</v>
      </c>
      <c r="AI24" s="23">
        <f t="shared" si="22"/>
        <v>7218640</v>
      </c>
    </row>
    <row r="25" spans="1:35" x14ac:dyDescent="0.25">
      <c r="A25" t="s">
        <v>136</v>
      </c>
      <c r="B25" t="s">
        <v>163</v>
      </c>
      <c r="C25" t="s">
        <v>120</v>
      </c>
      <c r="D25" s="18">
        <f>NPV(0.05,F25:AI25)</f>
        <v>110968189.88069747</v>
      </c>
      <c r="E25" s="22"/>
      <c r="F25" s="22">
        <f>$D$32*0.001*4</f>
        <v>7218640</v>
      </c>
      <c r="G25" s="22">
        <f t="shared" ref="G25:AI25" si="23">$D$32*0.001*4</f>
        <v>7218640</v>
      </c>
      <c r="H25" s="22">
        <f t="shared" si="23"/>
        <v>7218640</v>
      </c>
      <c r="I25" s="22">
        <f t="shared" si="23"/>
        <v>7218640</v>
      </c>
      <c r="J25" s="22">
        <f t="shared" si="23"/>
        <v>7218640</v>
      </c>
      <c r="K25" s="22">
        <f t="shared" si="23"/>
        <v>7218640</v>
      </c>
      <c r="L25" s="22">
        <f t="shared" si="23"/>
        <v>7218640</v>
      </c>
      <c r="M25" s="22">
        <f t="shared" si="23"/>
        <v>7218640</v>
      </c>
      <c r="N25" s="22">
        <f t="shared" si="23"/>
        <v>7218640</v>
      </c>
      <c r="O25" s="22">
        <f t="shared" si="23"/>
        <v>7218640</v>
      </c>
      <c r="P25" s="22">
        <f t="shared" si="23"/>
        <v>7218640</v>
      </c>
      <c r="Q25" s="22">
        <f t="shared" si="23"/>
        <v>7218640</v>
      </c>
      <c r="R25" s="22">
        <f t="shared" si="23"/>
        <v>7218640</v>
      </c>
      <c r="S25" s="22">
        <f t="shared" si="23"/>
        <v>7218640</v>
      </c>
      <c r="T25" s="22">
        <f t="shared" si="23"/>
        <v>7218640</v>
      </c>
      <c r="U25" s="22">
        <f t="shared" si="23"/>
        <v>7218640</v>
      </c>
      <c r="V25" s="22">
        <f t="shared" si="23"/>
        <v>7218640</v>
      </c>
      <c r="W25" s="22">
        <f t="shared" si="23"/>
        <v>7218640</v>
      </c>
      <c r="X25" s="22">
        <f t="shared" si="23"/>
        <v>7218640</v>
      </c>
      <c r="Y25" s="22">
        <f t="shared" si="23"/>
        <v>7218640</v>
      </c>
      <c r="Z25" s="22">
        <f t="shared" si="23"/>
        <v>7218640</v>
      </c>
      <c r="AA25" s="22">
        <f t="shared" si="23"/>
        <v>7218640</v>
      </c>
      <c r="AB25" s="22">
        <f t="shared" si="23"/>
        <v>7218640</v>
      </c>
      <c r="AC25" s="22">
        <f t="shared" si="23"/>
        <v>7218640</v>
      </c>
      <c r="AD25" s="22">
        <f t="shared" si="23"/>
        <v>7218640</v>
      </c>
      <c r="AE25" s="22">
        <f t="shared" si="23"/>
        <v>7218640</v>
      </c>
      <c r="AF25" s="22">
        <f t="shared" si="23"/>
        <v>7218640</v>
      </c>
      <c r="AG25" s="22">
        <f t="shared" si="23"/>
        <v>7218640</v>
      </c>
      <c r="AH25" s="22">
        <f t="shared" si="23"/>
        <v>7218640</v>
      </c>
      <c r="AI25" s="22">
        <f t="shared" si="23"/>
        <v>7218640</v>
      </c>
    </row>
    <row r="26" spans="1:35" ht="17.25" customHeight="1" x14ac:dyDescent="0.25"/>
    <row r="27" spans="1:35" x14ac:dyDescent="0.25">
      <c r="A27" s="2" t="s">
        <v>147</v>
      </c>
      <c r="B27" s="2" t="s">
        <v>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25">
      <c r="A28" t="s">
        <v>148</v>
      </c>
      <c r="B28" t="s">
        <v>7</v>
      </c>
      <c r="C28" t="s">
        <v>120</v>
      </c>
      <c r="D28" s="19"/>
      <c r="E28" s="17">
        <v>8147.13</v>
      </c>
      <c r="F28" s="17">
        <v>8454.23</v>
      </c>
      <c r="G28" s="17">
        <v>8699.75</v>
      </c>
      <c r="H28" s="17">
        <v>8941.91</v>
      </c>
      <c r="I28" s="17">
        <v>9270.9599999999991</v>
      </c>
      <c r="J28" s="17">
        <v>9612.1200000000008</v>
      </c>
      <c r="K28" s="17">
        <v>9965.84</v>
      </c>
      <c r="L28" s="17">
        <v>10332.58</v>
      </c>
      <c r="M28" s="17">
        <v>10712.8</v>
      </c>
      <c r="N28" s="17">
        <v>11107.03</v>
      </c>
      <c r="O28" s="17">
        <v>11515.75</v>
      </c>
      <c r="P28" s="17">
        <v>11939.52</v>
      </c>
      <c r="Q28" s="17">
        <v>12378.89</v>
      </c>
      <c r="R28" s="17">
        <v>12834.42</v>
      </c>
      <c r="S28" s="17">
        <v>13306.72</v>
      </c>
      <c r="T28" s="17">
        <v>13796.39</v>
      </c>
      <c r="U28" s="17">
        <v>14304.09</v>
      </c>
      <c r="V28" s="17">
        <v>14830.46</v>
      </c>
      <c r="W28" s="17">
        <v>15376.21</v>
      </c>
      <c r="X28" s="17">
        <v>15942.04</v>
      </c>
      <c r="Y28" s="17">
        <v>16528.689999999999</v>
      </c>
      <c r="Z28" s="17">
        <v>17136.939999999999</v>
      </c>
      <c r="AA28" s="17">
        <v>17767.560000000001</v>
      </c>
      <c r="AB28" s="17">
        <v>18421.39</v>
      </c>
      <c r="AC28" s="17">
        <v>19099.28</v>
      </c>
      <c r="AD28" s="17">
        <v>19802.12</v>
      </c>
      <c r="AE28" s="17">
        <v>20530.82</v>
      </c>
      <c r="AF28" s="17">
        <v>21286.33</v>
      </c>
      <c r="AG28" s="17">
        <v>22069.65</v>
      </c>
      <c r="AH28" s="17">
        <v>22881.79</v>
      </c>
      <c r="AI28" s="17">
        <v>23723.82</v>
      </c>
    </row>
    <row r="29" spans="1:35" x14ac:dyDescent="0.25">
      <c r="A29" t="s">
        <v>149</v>
      </c>
      <c r="B29" t="s">
        <v>8</v>
      </c>
      <c r="C29" t="s">
        <v>120</v>
      </c>
      <c r="D29" s="19"/>
      <c r="E29" s="17">
        <v>76964.649999999994</v>
      </c>
      <c r="F29" s="17">
        <v>78792.179999999993</v>
      </c>
      <c r="G29" s="17">
        <v>80260.03</v>
      </c>
      <c r="H29" s="17">
        <v>81505</v>
      </c>
      <c r="I29" s="17">
        <v>83772.75</v>
      </c>
      <c r="J29" s="17">
        <v>86103.6</v>
      </c>
      <c r="K29" s="17">
        <v>88499.3</v>
      </c>
      <c r="L29" s="17">
        <v>90961.66</v>
      </c>
      <c r="M29" s="17">
        <v>93492.53</v>
      </c>
      <c r="N29" s="17">
        <v>96093.82</v>
      </c>
      <c r="O29" s="17">
        <v>98767.49</v>
      </c>
      <c r="P29" s="17">
        <v>101515.55</v>
      </c>
      <c r="Q29" s="17">
        <v>104340.06</v>
      </c>
      <c r="R29" s="17">
        <v>107243.17</v>
      </c>
      <c r="S29" s="17">
        <v>110227.05</v>
      </c>
      <c r="T29" s="17">
        <v>113293.95</v>
      </c>
      <c r="U29" s="17">
        <v>116446.18</v>
      </c>
      <c r="V29" s="17">
        <v>119686.12</v>
      </c>
      <c r="W29" s="17">
        <v>123016.21</v>
      </c>
      <c r="X29" s="17">
        <v>126438.95</v>
      </c>
      <c r="Y29" s="17">
        <v>129956.93</v>
      </c>
      <c r="Z29" s="17">
        <v>133572.78</v>
      </c>
      <c r="AA29" s="17">
        <v>137289.24</v>
      </c>
      <c r="AB29" s="17">
        <v>141109.10999999999</v>
      </c>
      <c r="AC29" s="17">
        <v>145035.26</v>
      </c>
      <c r="AD29" s="17">
        <v>149070.65</v>
      </c>
      <c r="AE29" s="17">
        <v>153218.31</v>
      </c>
      <c r="AF29" s="17">
        <v>157481.38</v>
      </c>
      <c r="AG29" s="17">
        <v>161863.06</v>
      </c>
      <c r="AH29" s="17">
        <v>166366.66</v>
      </c>
      <c r="AI29" s="17">
        <v>170995.56</v>
      </c>
    </row>
    <row r="31" spans="1:35" x14ac:dyDescent="0.25">
      <c r="A31" s="2" t="s">
        <v>155</v>
      </c>
      <c r="B31" s="2" t="s">
        <v>74</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45" x14ac:dyDescent="0.25">
      <c r="A32" t="s">
        <v>156</v>
      </c>
      <c r="B32" s="1" t="s">
        <v>77</v>
      </c>
      <c r="C32" s="1" t="s">
        <v>120</v>
      </c>
      <c r="D32" s="17">
        <v>1804660000</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4" spans="1:35" x14ac:dyDescent="0.25">
      <c r="A34" s="2" t="s">
        <v>160</v>
      </c>
      <c r="B34" s="36" t="s">
        <v>277</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25">
      <c r="A35" s="50" t="s">
        <v>158</v>
      </c>
      <c r="B35" s="48" t="s">
        <v>76</v>
      </c>
      <c r="C35" s="48"/>
      <c r="D35" s="48"/>
      <c r="E35" s="48"/>
      <c r="F35" s="48"/>
      <c r="G35" s="48"/>
      <c r="H35" s="48"/>
      <c r="I35" s="48"/>
      <c r="J35" s="48"/>
      <c r="K35" s="48"/>
      <c r="L35" s="48"/>
    </row>
    <row r="36" spans="1:35" x14ac:dyDescent="0.25">
      <c r="A36" s="50"/>
      <c r="B36" s="48"/>
      <c r="C36" s="48"/>
      <c r="D36" s="48"/>
      <c r="E36" s="48"/>
      <c r="F36" s="48"/>
      <c r="G36" s="48"/>
      <c r="H36" s="48"/>
      <c r="I36" s="48"/>
      <c r="J36" s="48"/>
      <c r="K36" s="48"/>
      <c r="L36" s="48"/>
    </row>
    <row r="37" spans="1:35" x14ac:dyDescent="0.25">
      <c r="A37" s="50"/>
      <c r="B37" s="48"/>
      <c r="C37" s="48"/>
      <c r="D37" s="48"/>
      <c r="E37" s="48"/>
      <c r="F37" s="48"/>
      <c r="G37" s="48"/>
      <c r="H37" s="48"/>
      <c r="I37" s="48"/>
      <c r="J37" s="48"/>
      <c r="K37" s="48"/>
      <c r="L37" s="48"/>
    </row>
    <row r="38" spans="1:35" x14ac:dyDescent="0.25">
      <c r="A38" t="s">
        <v>159</v>
      </c>
      <c r="B38" t="s">
        <v>283</v>
      </c>
    </row>
    <row r="39" spans="1:35" x14ac:dyDescent="0.25">
      <c r="A39" t="s">
        <v>258</v>
      </c>
      <c r="B39" t="s">
        <v>284</v>
      </c>
    </row>
  </sheetData>
  <mergeCells count="7">
    <mergeCell ref="E1:AI1"/>
    <mergeCell ref="B2:B3"/>
    <mergeCell ref="D2:D3"/>
    <mergeCell ref="B35:L37"/>
    <mergeCell ref="A1:A3"/>
    <mergeCell ref="C2:C3"/>
    <mergeCell ref="A35:A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72553-B31B-41E9-909E-80AEDD3B204A}">
  <sheetPr codeName="Sheet4">
    <tabColor theme="8" tint="0.79998168889431442"/>
  </sheetPr>
  <dimension ref="A1:AI48"/>
  <sheetViews>
    <sheetView topLeftCell="A22" workbookViewId="0">
      <selection activeCell="B43" sqref="B43"/>
    </sheetView>
  </sheetViews>
  <sheetFormatPr defaultRowHeight="15" x14ac:dyDescent="0.25"/>
  <cols>
    <col min="2" max="2" width="112.85546875" customWidth="1"/>
    <col min="3" max="3" width="11.5703125" customWidth="1"/>
    <col min="4" max="4" width="14.85546875" customWidth="1"/>
    <col min="5" max="5" width="14.140625" customWidth="1"/>
    <col min="6" max="6" width="10.5703125" customWidth="1"/>
    <col min="7" max="7" width="14.42578125" customWidth="1"/>
    <col min="30" max="35" width="9.85546875" bestFit="1" customWidth="1"/>
  </cols>
  <sheetData>
    <row r="1" spans="1:35" x14ac:dyDescent="0.25">
      <c r="A1" s="42" t="s">
        <v>117</v>
      </c>
      <c r="B1" s="15" t="s">
        <v>98</v>
      </c>
      <c r="C1" s="15" t="s">
        <v>118</v>
      </c>
      <c r="D1" s="15"/>
      <c r="E1" s="40" t="s">
        <v>5</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c r="AE2" s="15">
        <v>2048</v>
      </c>
      <c r="AF2" s="15">
        <v>2049</v>
      </c>
      <c r="AG2" s="15">
        <v>2050</v>
      </c>
      <c r="AH2" s="15">
        <v>2051</v>
      </c>
      <c r="AI2" s="15">
        <v>2052</v>
      </c>
    </row>
    <row r="3" spans="1:35"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c r="AE3" s="15">
        <v>26</v>
      </c>
      <c r="AF3" s="15">
        <v>27</v>
      </c>
      <c r="AG3" s="15">
        <v>28</v>
      </c>
      <c r="AH3" s="15">
        <v>29</v>
      </c>
      <c r="AI3" s="15">
        <v>30</v>
      </c>
    </row>
    <row r="4" spans="1:35" x14ac:dyDescent="0.25">
      <c r="A4" t="s">
        <v>115</v>
      </c>
      <c r="B4" t="s">
        <v>309</v>
      </c>
      <c r="C4" t="s">
        <v>120</v>
      </c>
      <c r="D4" s="18">
        <f>E4+NPV(0.05,F4:L4)</f>
        <v>27906369.050456367</v>
      </c>
      <c r="E4" s="18">
        <f>32896945/8</f>
        <v>4112118.125</v>
      </c>
      <c r="F4" s="18">
        <f t="shared" ref="F4:L4" si="0">32896945/8</f>
        <v>4112118.125</v>
      </c>
      <c r="G4" s="18">
        <f t="shared" si="0"/>
        <v>4112118.125</v>
      </c>
      <c r="H4" s="18">
        <f t="shared" si="0"/>
        <v>4112118.125</v>
      </c>
      <c r="I4" s="18">
        <f t="shared" si="0"/>
        <v>4112118.125</v>
      </c>
      <c r="J4" s="18">
        <f t="shared" si="0"/>
        <v>4112118.125</v>
      </c>
      <c r="K4" s="18">
        <f t="shared" si="0"/>
        <v>4112118.125</v>
      </c>
      <c r="L4" s="18">
        <f t="shared" si="0"/>
        <v>4112118.125</v>
      </c>
      <c r="M4" s="22"/>
      <c r="N4" s="22"/>
      <c r="O4" s="22"/>
      <c r="P4" s="22"/>
      <c r="Q4" s="22"/>
      <c r="R4" s="22"/>
      <c r="S4" s="22"/>
      <c r="T4" s="22"/>
      <c r="U4" s="22"/>
      <c r="V4" s="22"/>
      <c r="W4" s="22"/>
      <c r="X4" s="22"/>
      <c r="Y4" s="22"/>
      <c r="Z4" s="22"/>
      <c r="AA4" s="22"/>
      <c r="AB4" s="22"/>
      <c r="AC4" s="22"/>
      <c r="AD4" s="22"/>
      <c r="AE4" s="22"/>
      <c r="AF4" s="22"/>
      <c r="AG4" s="22"/>
      <c r="AH4" s="22"/>
      <c r="AI4" s="22"/>
    </row>
    <row r="5" spans="1:35" x14ac:dyDescent="0.25">
      <c r="A5" t="s">
        <v>161</v>
      </c>
      <c r="B5" t="s">
        <v>310</v>
      </c>
      <c r="C5" t="s">
        <v>120</v>
      </c>
      <c r="D5" s="18">
        <f>SUM(D14:D15)</f>
        <v>86583648.799591482</v>
      </c>
      <c r="E5" s="18">
        <f t="shared" ref="E5:U5" si="1">SUM(E14:E15)</f>
        <v>0</v>
      </c>
      <c r="F5" s="18">
        <f t="shared" si="1"/>
        <v>2148794.1675285716</v>
      </c>
      <c r="G5" s="18">
        <f t="shared" si="1"/>
        <v>2486637.6492122859</v>
      </c>
      <c r="H5" s="18">
        <f t="shared" si="1"/>
        <v>4395705.6501620878</v>
      </c>
      <c r="I5" s="18">
        <f t="shared" si="1"/>
        <v>4814536.5604450908</v>
      </c>
      <c r="J5" s="18">
        <f t="shared" si="1"/>
        <v>5266695.390999293</v>
      </c>
      <c r="K5" s="18">
        <f t="shared" si="1"/>
        <v>5754633.3781985044</v>
      </c>
      <c r="L5" s="18">
        <f t="shared" si="1"/>
        <v>6146239.1706757639</v>
      </c>
      <c r="M5" s="18">
        <f t="shared" si="1"/>
        <v>5355627.5616365829</v>
      </c>
      <c r="N5" s="18">
        <f t="shared" si="1"/>
        <v>5480879.4244838757</v>
      </c>
      <c r="O5" s="18">
        <f t="shared" si="1"/>
        <v>5612776.2760874247</v>
      </c>
      <c r="P5" s="18">
        <f t="shared" si="1"/>
        <v>5664585.722049579</v>
      </c>
      <c r="Q5" s="18">
        <f t="shared" si="1"/>
        <v>5717512.9915054692</v>
      </c>
      <c r="R5" s="18">
        <f t="shared" si="1"/>
        <v>5771698.8292266754</v>
      </c>
      <c r="S5" s="18">
        <f t="shared" si="1"/>
        <v>5827304.5879713623</v>
      </c>
      <c r="T5" s="18">
        <f t="shared" si="1"/>
        <v>5884514.2828459274</v>
      </c>
      <c r="U5" s="18">
        <f t="shared" si="1"/>
        <v>5943537.3969877753</v>
      </c>
      <c r="V5" s="18">
        <f t="shared" ref="V5:AI5" si="2">SUM(V14:V15)</f>
        <v>6004612.4227309609</v>
      </c>
      <c r="W5" s="18">
        <f t="shared" si="2"/>
        <v>6180255.778876747</v>
      </c>
      <c r="X5" s="18">
        <f t="shared" si="2"/>
        <v>6366784.3527756548</v>
      </c>
      <c r="Y5" s="18">
        <f t="shared" si="2"/>
        <v>6564996.4042254649</v>
      </c>
      <c r="Z5" s="18">
        <f t="shared" si="2"/>
        <v>6775755.7210057564</v>
      </c>
      <c r="AA5" s="18">
        <f t="shared" si="2"/>
        <v>6999996.811796274</v>
      </c>
      <c r="AB5" s="18">
        <f t="shared" si="2"/>
        <v>7238731.2398579391</v>
      </c>
      <c r="AC5" s="18">
        <f t="shared" si="2"/>
        <v>7493053.9716451531</v>
      </c>
      <c r="AD5" s="18">
        <f t="shared" si="2"/>
        <v>7764150.9584932178</v>
      </c>
      <c r="AE5" s="18">
        <f t="shared" si="2"/>
        <v>8053306.8338576071</v>
      </c>
      <c r="AF5" s="18">
        <f t="shared" si="2"/>
        <v>8361913.693304792</v>
      </c>
      <c r="AG5" s="18">
        <f t="shared" si="2"/>
        <v>8691480.239602223</v>
      </c>
      <c r="AH5" s="18">
        <f t="shared" si="2"/>
        <v>9043641.8808664232</v>
      </c>
      <c r="AI5" s="18">
        <f t="shared" si="2"/>
        <v>9420172.2458444014</v>
      </c>
    </row>
    <row r="6" spans="1:35" x14ac:dyDescent="0.25">
      <c r="A6" t="s">
        <v>162</v>
      </c>
      <c r="B6" t="s">
        <v>311</v>
      </c>
      <c r="C6" t="s">
        <v>120</v>
      </c>
      <c r="D6" s="18">
        <f>NPV(0.05,F6:AI6)</f>
        <v>51950207.545329973</v>
      </c>
      <c r="E6" s="18">
        <f>0.6*E5</f>
        <v>0</v>
      </c>
      <c r="F6" s="18">
        <f>0.6*F5</f>
        <v>1289276.5005171429</v>
      </c>
      <c r="G6" s="18">
        <f t="shared" ref="G6:U6" si="3">0.6*G5</f>
        <v>1491982.5895273716</v>
      </c>
      <c r="H6" s="18">
        <f t="shared" si="3"/>
        <v>2637423.3900972526</v>
      </c>
      <c r="I6" s="18">
        <f t="shared" si="3"/>
        <v>2888721.9362670542</v>
      </c>
      <c r="J6" s="18">
        <f t="shared" si="3"/>
        <v>3160017.2345995759</v>
      </c>
      <c r="K6" s="18">
        <f t="shared" si="3"/>
        <v>3452780.0269191028</v>
      </c>
      <c r="L6" s="18">
        <f t="shared" si="3"/>
        <v>3687743.5024054581</v>
      </c>
      <c r="M6" s="18">
        <f t="shared" si="3"/>
        <v>3213376.5369819496</v>
      </c>
      <c r="N6" s="18">
        <f t="shared" si="3"/>
        <v>3288527.6546903253</v>
      </c>
      <c r="O6" s="18">
        <f t="shared" si="3"/>
        <v>3367665.7656524549</v>
      </c>
      <c r="P6" s="18">
        <f t="shared" si="3"/>
        <v>3398751.4332297472</v>
      </c>
      <c r="Q6" s="18">
        <f t="shared" si="3"/>
        <v>3430507.7949032816</v>
      </c>
      <c r="R6" s="18">
        <f t="shared" si="3"/>
        <v>3463019.2975360053</v>
      </c>
      <c r="S6" s="18">
        <f t="shared" si="3"/>
        <v>3496382.7527828175</v>
      </c>
      <c r="T6" s="18">
        <f t="shared" si="3"/>
        <v>3530708.5697075562</v>
      </c>
      <c r="U6" s="18">
        <f t="shared" si="3"/>
        <v>3566122.4381926651</v>
      </c>
      <c r="V6" s="18">
        <f t="shared" ref="V6:AI6" si="4">0.6*V5</f>
        <v>3602767.4536385764</v>
      </c>
      <c r="W6" s="18">
        <f t="shared" si="4"/>
        <v>3708153.4673260483</v>
      </c>
      <c r="X6" s="18">
        <f t="shared" si="4"/>
        <v>3820070.6116653928</v>
      </c>
      <c r="Y6" s="18">
        <f t="shared" si="4"/>
        <v>3938997.8425352788</v>
      </c>
      <c r="Z6" s="18">
        <f t="shared" si="4"/>
        <v>4065453.4326034538</v>
      </c>
      <c r="AA6" s="18">
        <f t="shared" si="4"/>
        <v>4199998.0870777639</v>
      </c>
      <c r="AB6" s="18">
        <f t="shared" si="4"/>
        <v>4343238.7439147634</v>
      </c>
      <c r="AC6" s="18">
        <f t="shared" si="4"/>
        <v>4495832.3829870913</v>
      </c>
      <c r="AD6" s="18">
        <f t="shared" si="4"/>
        <v>4658490.5750959301</v>
      </c>
      <c r="AE6" s="18">
        <f t="shared" si="4"/>
        <v>4831984.1003145641</v>
      </c>
      <c r="AF6" s="18">
        <f t="shared" si="4"/>
        <v>5017148.2159828749</v>
      </c>
      <c r="AG6" s="18">
        <f t="shared" si="4"/>
        <v>5214888.143761334</v>
      </c>
      <c r="AH6" s="18">
        <f t="shared" si="4"/>
        <v>5426185.1285198536</v>
      </c>
      <c r="AI6" s="18">
        <f t="shared" si="4"/>
        <v>5652103.3475066405</v>
      </c>
    </row>
    <row r="7" spans="1:35" x14ac:dyDescent="0.25">
      <c r="A7" t="s">
        <v>164</v>
      </c>
      <c r="B7" t="s">
        <v>312</v>
      </c>
      <c r="C7" t="s">
        <v>120</v>
      </c>
      <c r="D7" s="18">
        <f>NPV(0.05,F7:AI7)</f>
        <v>80281195.711474344</v>
      </c>
      <c r="E7" s="18">
        <f>SUM(E14,E21,E23)</f>
        <v>0</v>
      </c>
      <c r="F7" s="18">
        <f>SUM(F14,F21,F23)</f>
        <v>1415464.1675285716</v>
      </c>
      <c r="G7" s="18">
        <f t="shared" ref="G7:U7" si="5">SUM(G14,G21,G23)</f>
        <v>2119972.6492122859</v>
      </c>
      <c r="H7" s="18">
        <f t="shared" si="5"/>
        <v>3662375.6501620873</v>
      </c>
      <c r="I7" s="18">
        <f t="shared" si="5"/>
        <v>4447871.5604450908</v>
      </c>
      <c r="J7" s="18">
        <f t="shared" si="5"/>
        <v>4900030.390999293</v>
      </c>
      <c r="K7" s="18">
        <f t="shared" si="5"/>
        <v>5387968.3781985044</v>
      </c>
      <c r="L7" s="18">
        <f t="shared" si="5"/>
        <v>5779574.1706757639</v>
      </c>
      <c r="M7" s="18">
        <f t="shared" si="5"/>
        <v>4988962.5616365829</v>
      </c>
      <c r="N7" s="18">
        <f t="shared" si="5"/>
        <v>5114214.4244838757</v>
      </c>
      <c r="O7" s="18">
        <f t="shared" si="5"/>
        <v>5246111.2760874247</v>
      </c>
      <c r="P7" s="18">
        <f t="shared" si="5"/>
        <v>5297920.722049579</v>
      </c>
      <c r="Q7" s="18">
        <f t="shared" si="5"/>
        <v>5350847.9915054692</v>
      </c>
      <c r="R7" s="18">
        <f t="shared" si="5"/>
        <v>5405033.8292266754</v>
      </c>
      <c r="S7" s="18">
        <f t="shared" si="5"/>
        <v>5460639.5879713623</v>
      </c>
      <c r="T7" s="18">
        <f t="shared" si="5"/>
        <v>5517849.2828459274</v>
      </c>
      <c r="U7" s="18">
        <f t="shared" si="5"/>
        <v>5576872.3969877753</v>
      </c>
      <c r="V7" s="18">
        <f t="shared" ref="V7:AI7" si="6">SUM(V14,V21,V23)</f>
        <v>5637947.4227309609</v>
      </c>
      <c r="W7" s="18">
        <f t="shared" si="6"/>
        <v>5813590.778876747</v>
      </c>
      <c r="X7" s="18">
        <f t="shared" si="6"/>
        <v>6000119.3527756548</v>
      </c>
      <c r="Y7" s="18">
        <f t="shared" si="6"/>
        <v>6198331.4042254649</v>
      </c>
      <c r="Z7" s="18">
        <f t="shared" si="6"/>
        <v>6409090.7210057564</v>
      </c>
      <c r="AA7" s="18">
        <f t="shared" si="6"/>
        <v>6633331.811796274</v>
      </c>
      <c r="AB7" s="18">
        <f t="shared" si="6"/>
        <v>6872066.2398579391</v>
      </c>
      <c r="AC7" s="18">
        <f t="shared" si="6"/>
        <v>7126388.9716451531</v>
      </c>
      <c r="AD7" s="18">
        <f t="shared" si="6"/>
        <v>7397485.9584932178</v>
      </c>
      <c r="AE7" s="18">
        <f t="shared" si="6"/>
        <v>7686641.8338576071</v>
      </c>
      <c r="AF7" s="18">
        <f t="shared" si="6"/>
        <v>7995248.693304792</v>
      </c>
      <c r="AG7" s="18">
        <f t="shared" si="6"/>
        <v>8324815.239602224</v>
      </c>
      <c r="AH7" s="18">
        <f t="shared" si="6"/>
        <v>8676976.8808664232</v>
      </c>
      <c r="AI7" s="18">
        <f t="shared" si="6"/>
        <v>9053507.2458444014</v>
      </c>
    </row>
    <row r="8" spans="1:35" x14ac:dyDescent="0.25">
      <c r="D8" s="3"/>
      <c r="E8" s="3"/>
      <c r="F8" s="3"/>
      <c r="G8" s="3"/>
      <c r="H8" s="3"/>
      <c r="I8" s="3"/>
      <c r="J8" s="3"/>
      <c r="K8" s="3"/>
      <c r="L8" s="3"/>
      <c r="M8" s="3"/>
      <c r="N8" s="3"/>
      <c r="O8" s="3"/>
      <c r="P8" s="3"/>
      <c r="Q8" s="3"/>
      <c r="R8" s="3"/>
      <c r="S8" s="3"/>
      <c r="T8" s="3"/>
      <c r="U8" s="3"/>
    </row>
    <row r="9" spans="1:35" x14ac:dyDescent="0.25">
      <c r="A9" t="s">
        <v>121</v>
      </c>
      <c r="B9" t="s">
        <v>178</v>
      </c>
      <c r="C9" t="s">
        <v>120</v>
      </c>
      <c r="D9" s="20">
        <f>D5-D4</f>
        <v>58677279.749135114</v>
      </c>
    </row>
    <row r="10" spans="1:35" x14ac:dyDescent="0.25">
      <c r="A10" t="s">
        <v>244</v>
      </c>
      <c r="B10" t="s">
        <v>247</v>
      </c>
      <c r="C10" t="s">
        <v>126</v>
      </c>
      <c r="D10" s="24">
        <f>D5/D4</f>
        <v>3.1026483109659706</v>
      </c>
      <c r="F10" s="35"/>
    </row>
    <row r="11" spans="1:35" x14ac:dyDescent="0.25">
      <c r="A11" t="s">
        <v>245</v>
      </c>
      <c r="B11" t="s">
        <v>248</v>
      </c>
      <c r="C11" t="s">
        <v>126</v>
      </c>
      <c r="D11" s="21">
        <f>D6/D4</f>
        <v>1.8615896411102757</v>
      </c>
      <c r="F11" s="35"/>
    </row>
    <row r="12" spans="1:35" x14ac:dyDescent="0.25">
      <c r="A12" t="s">
        <v>246</v>
      </c>
      <c r="B12" t="s">
        <v>249</v>
      </c>
      <c r="C12" t="s">
        <v>126</v>
      </c>
      <c r="D12" s="21">
        <f>D7/D4</f>
        <v>2.8768054907580844</v>
      </c>
      <c r="F12" s="35"/>
    </row>
    <row r="13" spans="1:35" x14ac:dyDescent="0.25">
      <c r="D13" s="9"/>
    </row>
    <row r="14" spans="1:35" x14ac:dyDescent="0.25">
      <c r="A14" t="s">
        <v>122</v>
      </c>
      <c r="B14" t="s">
        <v>124</v>
      </c>
      <c r="C14" t="s">
        <v>120</v>
      </c>
      <c r="D14" s="18">
        <f>SUM(E14:L14)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1</v>
      </c>
      <c r="W14" s="18">
        <v>2</v>
      </c>
      <c r="X14" s="18">
        <v>3</v>
      </c>
      <c r="Y14" s="18">
        <v>4</v>
      </c>
      <c r="Z14" s="18">
        <v>5</v>
      </c>
      <c r="AA14" s="18">
        <v>6</v>
      </c>
      <c r="AB14" s="18">
        <v>7</v>
      </c>
      <c r="AC14" s="18">
        <v>8</v>
      </c>
      <c r="AD14" s="18">
        <v>9</v>
      </c>
      <c r="AE14" s="18">
        <v>10</v>
      </c>
      <c r="AF14" s="18">
        <v>11</v>
      </c>
      <c r="AG14" s="18">
        <v>12</v>
      </c>
      <c r="AH14" s="18">
        <v>13</v>
      </c>
      <c r="AI14" s="18">
        <v>14</v>
      </c>
    </row>
    <row r="15" spans="1:35" x14ac:dyDescent="0.25">
      <c r="A15" t="s">
        <v>123</v>
      </c>
      <c r="B15" t="s">
        <v>125</v>
      </c>
      <c r="C15" t="s">
        <v>120</v>
      </c>
      <c r="D15" s="18">
        <f t="shared" ref="D15:E15" si="7">SUM(D17,D23)</f>
        <v>86583648.799591482</v>
      </c>
      <c r="E15" s="18">
        <f t="shared" si="7"/>
        <v>0</v>
      </c>
      <c r="F15" s="18">
        <f>SUM(F17,F23)</f>
        <v>2148794.1675285716</v>
      </c>
      <c r="G15" s="18">
        <f t="shared" ref="G15:U15" si="8">SUM(G17,G23)</f>
        <v>2486637.6492122859</v>
      </c>
      <c r="H15" s="18">
        <f t="shared" si="8"/>
        <v>4395705.6501620878</v>
      </c>
      <c r="I15" s="18">
        <f t="shared" si="8"/>
        <v>4814536.5604450908</v>
      </c>
      <c r="J15" s="18">
        <f t="shared" si="8"/>
        <v>5266695.390999293</v>
      </c>
      <c r="K15" s="18">
        <f t="shared" si="8"/>
        <v>5754633.3781985044</v>
      </c>
      <c r="L15" s="18">
        <f t="shared" si="8"/>
        <v>6146239.1706757639</v>
      </c>
      <c r="M15" s="18">
        <f t="shared" si="8"/>
        <v>5355627.5616365829</v>
      </c>
      <c r="N15" s="18">
        <f t="shared" si="8"/>
        <v>5480879.4244838757</v>
      </c>
      <c r="O15" s="18">
        <f t="shared" si="8"/>
        <v>5612776.2760874247</v>
      </c>
      <c r="P15" s="18">
        <f t="shared" si="8"/>
        <v>5664585.722049579</v>
      </c>
      <c r="Q15" s="18">
        <f t="shared" si="8"/>
        <v>5717512.9915054692</v>
      </c>
      <c r="R15" s="18">
        <f t="shared" si="8"/>
        <v>5771698.8292266754</v>
      </c>
      <c r="S15" s="18">
        <f t="shared" si="8"/>
        <v>5827304.5879713623</v>
      </c>
      <c r="T15" s="18">
        <f t="shared" si="8"/>
        <v>5884514.2828459274</v>
      </c>
      <c r="U15" s="18">
        <f t="shared" si="8"/>
        <v>5943537.3969877753</v>
      </c>
      <c r="V15" s="18">
        <f t="shared" ref="V15:AI15" si="9">SUM(V17,V23)</f>
        <v>6004611.4227309609</v>
      </c>
      <c r="W15" s="18">
        <f t="shared" si="9"/>
        <v>6180253.778876747</v>
      </c>
      <c r="X15" s="18">
        <f t="shared" si="9"/>
        <v>6366781.3527756548</v>
      </c>
      <c r="Y15" s="18">
        <f t="shared" si="9"/>
        <v>6564992.4042254649</v>
      </c>
      <c r="Z15" s="18">
        <f t="shared" si="9"/>
        <v>6775750.7210057564</v>
      </c>
      <c r="AA15" s="18">
        <f t="shared" si="9"/>
        <v>6999990.811796274</v>
      </c>
      <c r="AB15" s="18">
        <f t="shared" si="9"/>
        <v>7238724.2398579391</v>
      </c>
      <c r="AC15" s="18">
        <f t="shared" si="9"/>
        <v>7493045.9716451531</v>
      </c>
      <c r="AD15" s="18">
        <f t="shared" si="9"/>
        <v>7764141.9584932178</v>
      </c>
      <c r="AE15" s="18">
        <f t="shared" si="9"/>
        <v>8053296.8338576071</v>
      </c>
      <c r="AF15" s="18">
        <f t="shared" si="9"/>
        <v>8361902.693304792</v>
      </c>
      <c r="AG15" s="18">
        <f t="shared" si="9"/>
        <v>8691468.239602223</v>
      </c>
      <c r="AH15" s="18">
        <f t="shared" si="9"/>
        <v>9043628.8808664232</v>
      </c>
      <c r="AI15" s="18">
        <f t="shared" si="9"/>
        <v>9420158.2458444014</v>
      </c>
    </row>
    <row r="17" spans="1:35" x14ac:dyDescent="0.25">
      <c r="A17" s="2" t="s">
        <v>127</v>
      </c>
      <c r="B17" s="2" t="s">
        <v>242</v>
      </c>
      <c r="C17" s="2"/>
      <c r="D17" s="23">
        <f>SUM(D19)</f>
        <v>38092216.839156784</v>
      </c>
      <c r="E17" s="23">
        <f t="shared" ref="E17:U17" si="10">SUM(E19)</f>
        <v>0</v>
      </c>
      <c r="F17" s="23">
        <f t="shared" si="10"/>
        <v>1833325</v>
      </c>
      <c r="G17" s="23">
        <f t="shared" si="10"/>
        <v>1833325</v>
      </c>
      <c r="H17" s="23">
        <f t="shared" si="10"/>
        <v>2566655</v>
      </c>
      <c r="I17" s="23">
        <f t="shared" si="10"/>
        <v>2566655</v>
      </c>
      <c r="J17" s="23">
        <f t="shared" si="10"/>
        <v>2566655</v>
      </c>
      <c r="K17" s="23">
        <f t="shared" si="10"/>
        <v>2566655</v>
      </c>
      <c r="L17" s="23">
        <f t="shared" si="10"/>
        <v>2566655</v>
      </c>
      <c r="M17" s="23">
        <f t="shared" si="10"/>
        <v>2566655</v>
      </c>
      <c r="N17" s="23">
        <f t="shared" si="10"/>
        <v>2566655</v>
      </c>
      <c r="O17" s="23">
        <f t="shared" si="10"/>
        <v>2566655</v>
      </c>
      <c r="P17" s="23">
        <f t="shared" si="10"/>
        <v>2566655</v>
      </c>
      <c r="Q17" s="23">
        <f t="shared" si="10"/>
        <v>2566655</v>
      </c>
      <c r="R17" s="23">
        <f t="shared" si="10"/>
        <v>2566655</v>
      </c>
      <c r="S17" s="23">
        <f t="shared" si="10"/>
        <v>2566655</v>
      </c>
      <c r="T17" s="23">
        <f t="shared" si="10"/>
        <v>2566655</v>
      </c>
      <c r="U17" s="23">
        <f t="shared" si="10"/>
        <v>2566655</v>
      </c>
      <c r="V17" s="23">
        <f t="shared" ref="V17:AI17" si="11">SUM(V19)</f>
        <v>2566655</v>
      </c>
      <c r="W17" s="23">
        <f t="shared" si="11"/>
        <v>2566655</v>
      </c>
      <c r="X17" s="23">
        <f t="shared" si="11"/>
        <v>2566655</v>
      </c>
      <c r="Y17" s="23">
        <f t="shared" si="11"/>
        <v>2566655</v>
      </c>
      <c r="Z17" s="23">
        <f t="shared" si="11"/>
        <v>2566655</v>
      </c>
      <c r="AA17" s="23">
        <f t="shared" si="11"/>
        <v>2566655</v>
      </c>
      <c r="AB17" s="23">
        <f t="shared" si="11"/>
        <v>2566655</v>
      </c>
      <c r="AC17" s="23">
        <f t="shared" si="11"/>
        <v>2566655</v>
      </c>
      <c r="AD17" s="23">
        <f t="shared" si="11"/>
        <v>2566655</v>
      </c>
      <c r="AE17" s="23">
        <f t="shared" si="11"/>
        <v>2566655</v>
      </c>
      <c r="AF17" s="23">
        <f t="shared" si="11"/>
        <v>2566655</v>
      </c>
      <c r="AG17" s="23">
        <f t="shared" si="11"/>
        <v>2566655</v>
      </c>
      <c r="AH17" s="23">
        <f t="shared" si="11"/>
        <v>2566655</v>
      </c>
      <c r="AI17" s="23">
        <f t="shared" si="11"/>
        <v>2566655</v>
      </c>
    </row>
    <row r="18" spans="1:35" s="10" customFormat="1" ht="18" customHeight="1" x14ac:dyDescent="0.25">
      <c r="A18" t="s">
        <v>129</v>
      </c>
      <c r="B18" t="s">
        <v>253</v>
      </c>
      <c r="C18" t="s">
        <v>144</v>
      </c>
      <c r="D18" s="19">
        <v>225</v>
      </c>
      <c r="E18" s="19"/>
      <c r="F18" s="19">
        <v>25</v>
      </c>
      <c r="G18" s="19">
        <v>25</v>
      </c>
      <c r="H18" s="19">
        <v>35</v>
      </c>
      <c r="I18" s="19">
        <v>35</v>
      </c>
      <c r="J18" s="19">
        <v>35</v>
      </c>
      <c r="K18" s="19">
        <v>35</v>
      </c>
      <c r="L18" s="19">
        <v>35</v>
      </c>
      <c r="M18" s="19">
        <f>L18</f>
        <v>35</v>
      </c>
      <c r="N18" s="19">
        <f t="shared" ref="N18:AI18" si="12">M18</f>
        <v>35</v>
      </c>
      <c r="O18" s="19">
        <f t="shared" si="12"/>
        <v>35</v>
      </c>
      <c r="P18" s="19">
        <f t="shared" si="12"/>
        <v>35</v>
      </c>
      <c r="Q18" s="19">
        <f t="shared" si="12"/>
        <v>35</v>
      </c>
      <c r="R18" s="19">
        <f t="shared" si="12"/>
        <v>35</v>
      </c>
      <c r="S18" s="19">
        <f t="shared" si="12"/>
        <v>35</v>
      </c>
      <c r="T18" s="19">
        <f t="shared" si="12"/>
        <v>35</v>
      </c>
      <c r="U18" s="19">
        <f t="shared" si="12"/>
        <v>35</v>
      </c>
      <c r="V18" s="19">
        <f t="shared" si="12"/>
        <v>35</v>
      </c>
      <c r="W18" s="19">
        <f t="shared" si="12"/>
        <v>35</v>
      </c>
      <c r="X18" s="19">
        <f t="shared" si="12"/>
        <v>35</v>
      </c>
      <c r="Y18" s="19">
        <f t="shared" si="12"/>
        <v>35</v>
      </c>
      <c r="Z18" s="19">
        <f t="shared" si="12"/>
        <v>35</v>
      </c>
      <c r="AA18" s="19">
        <f t="shared" si="12"/>
        <v>35</v>
      </c>
      <c r="AB18" s="19">
        <f t="shared" si="12"/>
        <v>35</v>
      </c>
      <c r="AC18" s="19">
        <f t="shared" si="12"/>
        <v>35</v>
      </c>
      <c r="AD18" s="19">
        <f t="shared" si="12"/>
        <v>35</v>
      </c>
      <c r="AE18" s="19">
        <f t="shared" si="12"/>
        <v>35</v>
      </c>
      <c r="AF18" s="19">
        <f t="shared" si="12"/>
        <v>35</v>
      </c>
      <c r="AG18" s="19">
        <f t="shared" si="12"/>
        <v>35</v>
      </c>
      <c r="AH18" s="19">
        <f t="shared" si="12"/>
        <v>35</v>
      </c>
      <c r="AI18" s="19">
        <f t="shared" si="12"/>
        <v>35</v>
      </c>
    </row>
    <row r="19" spans="1:35" s="10" customFormat="1" ht="18" customHeight="1" x14ac:dyDescent="0.25">
      <c r="A19" t="s">
        <v>130</v>
      </c>
      <c r="B19" t="s">
        <v>167</v>
      </c>
      <c r="C19" t="s">
        <v>120</v>
      </c>
      <c r="D19" s="18">
        <f>NPV(0.05,F19:AI19)</f>
        <v>38092216.839156784</v>
      </c>
      <c r="E19" s="18"/>
      <c r="F19" s="18">
        <f t="shared" ref="F19:AI19" si="13">F18*$D$39</f>
        <v>1833325</v>
      </c>
      <c r="G19" s="18">
        <f t="shared" si="13"/>
        <v>1833325</v>
      </c>
      <c r="H19" s="18">
        <f t="shared" si="13"/>
        <v>2566655</v>
      </c>
      <c r="I19" s="18">
        <f t="shared" si="13"/>
        <v>2566655</v>
      </c>
      <c r="J19" s="18">
        <f t="shared" si="13"/>
        <v>2566655</v>
      </c>
      <c r="K19" s="18">
        <f t="shared" si="13"/>
        <v>2566655</v>
      </c>
      <c r="L19" s="18">
        <f t="shared" si="13"/>
        <v>2566655</v>
      </c>
      <c r="M19" s="18">
        <f t="shared" si="13"/>
        <v>2566655</v>
      </c>
      <c r="N19" s="18">
        <f t="shared" si="13"/>
        <v>2566655</v>
      </c>
      <c r="O19" s="18">
        <f t="shared" si="13"/>
        <v>2566655</v>
      </c>
      <c r="P19" s="18">
        <f t="shared" si="13"/>
        <v>2566655</v>
      </c>
      <c r="Q19" s="18">
        <f t="shared" si="13"/>
        <v>2566655</v>
      </c>
      <c r="R19" s="18">
        <f t="shared" si="13"/>
        <v>2566655</v>
      </c>
      <c r="S19" s="18">
        <f t="shared" si="13"/>
        <v>2566655</v>
      </c>
      <c r="T19" s="18">
        <f t="shared" si="13"/>
        <v>2566655</v>
      </c>
      <c r="U19" s="18">
        <f t="shared" si="13"/>
        <v>2566655</v>
      </c>
      <c r="V19" s="18">
        <f t="shared" si="13"/>
        <v>2566655</v>
      </c>
      <c r="W19" s="18">
        <f t="shared" si="13"/>
        <v>2566655</v>
      </c>
      <c r="X19" s="18">
        <f t="shared" si="13"/>
        <v>2566655</v>
      </c>
      <c r="Y19" s="18">
        <f t="shared" si="13"/>
        <v>2566655</v>
      </c>
      <c r="Z19" s="18">
        <f t="shared" si="13"/>
        <v>2566655</v>
      </c>
      <c r="AA19" s="18">
        <f t="shared" si="13"/>
        <v>2566655</v>
      </c>
      <c r="AB19" s="18">
        <f t="shared" si="13"/>
        <v>2566655</v>
      </c>
      <c r="AC19" s="18">
        <f t="shared" si="13"/>
        <v>2566655</v>
      </c>
      <c r="AD19" s="18">
        <f t="shared" si="13"/>
        <v>2566655</v>
      </c>
      <c r="AE19" s="18">
        <f t="shared" si="13"/>
        <v>2566655</v>
      </c>
      <c r="AF19" s="18">
        <f t="shared" si="13"/>
        <v>2566655</v>
      </c>
      <c r="AG19" s="18">
        <f t="shared" si="13"/>
        <v>2566655</v>
      </c>
      <c r="AH19" s="18">
        <f t="shared" si="13"/>
        <v>2566655</v>
      </c>
      <c r="AI19" s="18">
        <f t="shared" si="13"/>
        <v>2566655</v>
      </c>
    </row>
    <row r="20" spans="1:35" s="10" customFormat="1" ht="18" customHeight="1" x14ac:dyDescent="0.25">
      <c r="A20" t="s">
        <v>131</v>
      </c>
      <c r="B20" t="s">
        <v>254</v>
      </c>
      <c r="C20" t="s">
        <v>144</v>
      </c>
      <c r="D20" s="19">
        <v>180</v>
      </c>
      <c r="E20" s="25"/>
      <c r="F20" s="19">
        <v>15</v>
      </c>
      <c r="G20" s="19">
        <v>20</v>
      </c>
      <c r="H20" s="19">
        <v>25</v>
      </c>
      <c r="I20" s="19">
        <v>30</v>
      </c>
      <c r="J20" s="19">
        <v>30</v>
      </c>
      <c r="K20" s="19">
        <v>30</v>
      </c>
      <c r="L20" s="19">
        <v>30</v>
      </c>
      <c r="M20" s="19">
        <f>L20</f>
        <v>30</v>
      </c>
      <c r="N20" s="19">
        <f t="shared" ref="N20:AI20" si="14">M20</f>
        <v>30</v>
      </c>
      <c r="O20" s="19">
        <f t="shared" si="14"/>
        <v>30</v>
      </c>
      <c r="P20" s="19">
        <f t="shared" si="14"/>
        <v>30</v>
      </c>
      <c r="Q20" s="19">
        <f t="shared" si="14"/>
        <v>30</v>
      </c>
      <c r="R20" s="19">
        <f t="shared" si="14"/>
        <v>30</v>
      </c>
      <c r="S20" s="19">
        <f t="shared" si="14"/>
        <v>30</v>
      </c>
      <c r="T20" s="19">
        <f t="shared" si="14"/>
        <v>30</v>
      </c>
      <c r="U20" s="19">
        <f t="shared" si="14"/>
        <v>30</v>
      </c>
      <c r="V20" s="19">
        <f t="shared" si="14"/>
        <v>30</v>
      </c>
      <c r="W20" s="19">
        <f t="shared" si="14"/>
        <v>30</v>
      </c>
      <c r="X20" s="19">
        <f t="shared" si="14"/>
        <v>30</v>
      </c>
      <c r="Y20" s="19">
        <f t="shared" si="14"/>
        <v>30</v>
      </c>
      <c r="Z20" s="19">
        <f t="shared" si="14"/>
        <v>30</v>
      </c>
      <c r="AA20" s="19">
        <f t="shared" si="14"/>
        <v>30</v>
      </c>
      <c r="AB20" s="19">
        <f t="shared" si="14"/>
        <v>30</v>
      </c>
      <c r="AC20" s="19">
        <f t="shared" si="14"/>
        <v>30</v>
      </c>
      <c r="AD20" s="19">
        <f t="shared" si="14"/>
        <v>30</v>
      </c>
      <c r="AE20" s="19">
        <f t="shared" si="14"/>
        <v>30</v>
      </c>
      <c r="AF20" s="19">
        <f t="shared" si="14"/>
        <v>30</v>
      </c>
      <c r="AG20" s="19">
        <f t="shared" si="14"/>
        <v>30</v>
      </c>
      <c r="AH20" s="19">
        <f t="shared" si="14"/>
        <v>30</v>
      </c>
      <c r="AI20" s="19">
        <f t="shared" si="14"/>
        <v>30</v>
      </c>
    </row>
    <row r="21" spans="1:35" x14ac:dyDescent="0.25">
      <c r="A21" t="s">
        <v>132</v>
      </c>
      <c r="B21" t="s">
        <v>166</v>
      </c>
      <c r="C21" t="s">
        <v>120</v>
      </c>
      <c r="D21" s="18">
        <f>NPV(0.05,F21:AI21)</f>
        <v>31789733.308414478</v>
      </c>
      <c r="E21" s="18"/>
      <c r="F21" s="18">
        <f>F20*$D$39</f>
        <v>1099995</v>
      </c>
      <c r="G21" s="18">
        <f t="shared" ref="G21:AI21" si="15">G20*$D$39</f>
        <v>1466660</v>
      </c>
      <c r="H21" s="18">
        <f t="shared" si="15"/>
        <v>1833325</v>
      </c>
      <c r="I21" s="18">
        <f t="shared" si="15"/>
        <v>2199990</v>
      </c>
      <c r="J21" s="18">
        <f t="shared" si="15"/>
        <v>2199990</v>
      </c>
      <c r="K21" s="18">
        <f t="shared" si="15"/>
        <v>2199990</v>
      </c>
      <c r="L21" s="18">
        <f t="shared" si="15"/>
        <v>2199990</v>
      </c>
      <c r="M21" s="18">
        <f t="shared" si="15"/>
        <v>2199990</v>
      </c>
      <c r="N21" s="18">
        <f t="shared" si="15"/>
        <v>2199990</v>
      </c>
      <c r="O21" s="18">
        <f t="shared" si="15"/>
        <v>2199990</v>
      </c>
      <c r="P21" s="18">
        <f t="shared" si="15"/>
        <v>2199990</v>
      </c>
      <c r="Q21" s="18">
        <f t="shared" si="15"/>
        <v>2199990</v>
      </c>
      <c r="R21" s="18">
        <f t="shared" si="15"/>
        <v>2199990</v>
      </c>
      <c r="S21" s="18">
        <f t="shared" si="15"/>
        <v>2199990</v>
      </c>
      <c r="T21" s="18">
        <f t="shared" si="15"/>
        <v>2199990</v>
      </c>
      <c r="U21" s="18">
        <f t="shared" si="15"/>
        <v>2199990</v>
      </c>
      <c r="V21" s="18">
        <f t="shared" si="15"/>
        <v>2199990</v>
      </c>
      <c r="W21" s="18">
        <f t="shared" si="15"/>
        <v>2199990</v>
      </c>
      <c r="X21" s="18">
        <f t="shared" si="15"/>
        <v>2199990</v>
      </c>
      <c r="Y21" s="18">
        <f t="shared" si="15"/>
        <v>2199990</v>
      </c>
      <c r="Z21" s="18">
        <f t="shared" si="15"/>
        <v>2199990</v>
      </c>
      <c r="AA21" s="18">
        <f t="shared" si="15"/>
        <v>2199990</v>
      </c>
      <c r="AB21" s="18">
        <f t="shared" si="15"/>
        <v>2199990</v>
      </c>
      <c r="AC21" s="18">
        <f t="shared" si="15"/>
        <v>2199990</v>
      </c>
      <c r="AD21" s="18">
        <f t="shared" si="15"/>
        <v>2199990</v>
      </c>
      <c r="AE21" s="18">
        <f t="shared" si="15"/>
        <v>2199990</v>
      </c>
      <c r="AF21" s="18">
        <f t="shared" si="15"/>
        <v>2199990</v>
      </c>
      <c r="AG21" s="18">
        <f t="shared" si="15"/>
        <v>2199990</v>
      </c>
      <c r="AH21" s="18">
        <f t="shared" si="15"/>
        <v>2199990</v>
      </c>
      <c r="AI21" s="18">
        <f t="shared" si="15"/>
        <v>2199990</v>
      </c>
    </row>
    <row r="22" spans="1:35" ht="20.25" customHeight="1" x14ac:dyDescent="0.25"/>
    <row r="23" spans="1:35" x14ac:dyDescent="0.25">
      <c r="A23" s="2" t="s">
        <v>135</v>
      </c>
      <c r="B23" s="2" t="s">
        <v>128</v>
      </c>
      <c r="C23" s="14"/>
      <c r="D23" s="23">
        <f>SUM(D25,D27,D29,D31)</f>
        <v>48491431.96043469</v>
      </c>
      <c r="E23" s="23">
        <f t="shared" ref="E23:AI23" si="16">SUM(E25,E27,E29,E31)</f>
        <v>0</v>
      </c>
      <c r="F23" s="23">
        <f t="shared" si="16"/>
        <v>315469.16752857144</v>
      </c>
      <c r="G23" s="23">
        <f t="shared" si="16"/>
        <v>653312.64921228564</v>
      </c>
      <c r="H23" s="23">
        <f t="shared" si="16"/>
        <v>1829050.6501620873</v>
      </c>
      <c r="I23" s="23">
        <f t="shared" si="16"/>
        <v>2247881.5604450908</v>
      </c>
      <c r="J23" s="23">
        <f t="shared" si="16"/>
        <v>2700040.390999293</v>
      </c>
      <c r="K23" s="23">
        <f t="shared" si="16"/>
        <v>3187978.378198504</v>
      </c>
      <c r="L23" s="23">
        <f t="shared" si="16"/>
        <v>3579584.1706757643</v>
      </c>
      <c r="M23" s="23">
        <f t="shared" si="16"/>
        <v>2788972.5616365829</v>
      </c>
      <c r="N23" s="23">
        <f t="shared" si="16"/>
        <v>2914224.4244838757</v>
      </c>
      <c r="O23" s="23">
        <f t="shared" si="16"/>
        <v>3046121.2760874247</v>
      </c>
      <c r="P23" s="23">
        <f t="shared" si="16"/>
        <v>3097930.7220495786</v>
      </c>
      <c r="Q23" s="23">
        <f t="shared" si="16"/>
        <v>3150857.9915054692</v>
      </c>
      <c r="R23" s="23">
        <f t="shared" si="16"/>
        <v>3205043.8292266754</v>
      </c>
      <c r="S23" s="23">
        <f t="shared" si="16"/>
        <v>3260649.5879713623</v>
      </c>
      <c r="T23" s="23">
        <f t="shared" si="16"/>
        <v>3317859.2828459274</v>
      </c>
      <c r="U23" s="23">
        <f t="shared" si="16"/>
        <v>3376882.3969877753</v>
      </c>
      <c r="V23" s="23">
        <f t="shared" si="16"/>
        <v>3437956.4227309609</v>
      </c>
      <c r="W23" s="23">
        <f t="shared" si="16"/>
        <v>3613598.778876747</v>
      </c>
      <c r="X23" s="23">
        <f t="shared" si="16"/>
        <v>3800126.3527756548</v>
      </c>
      <c r="Y23" s="23">
        <f t="shared" si="16"/>
        <v>3998337.4042254644</v>
      </c>
      <c r="Z23" s="23">
        <f t="shared" si="16"/>
        <v>4209095.7210057564</v>
      </c>
      <c r="AA23" s="23">
        <f t="shared" si="16"/>
        <v>4433335.811796274</v>
      </c>
      <c r="AB23" s="23">
        <f t="shared" si="16"/>
        <v>4672069.2398579391</v>
      </c>
      <c r="AC23" s="23">
        <f t="shared" si="16"/>
        <v>4926390.9716451531</v>
      </c>
      <c r="AD23" s="23">
        <f t="shared" si="16"/>
        <v>5197486.9584932178</v>
      </c>
      <c r="AE23" s="23">
        <f t="shared" si="16"/>
        <v>5486641.8338576071</v>
      </c>
      <c r="AF23" s="23">
        <f t="shared" si="16"/>
        <v>5795247.693304792</v>
      </c>
      <c r="AG23" s="23">
        <f t="shared" si="16"/>
        <v>6124813.239602224</v>
      </c>
      <c r="AH23" s="23">
        <f t="shared" si="16"/>
        <v>6476973.8808664232</v>
      </c>
      <c r="AI23" s="23">
        <f t="shared" si="16"/>
        <v>6853503.2458444024</v>
      </c>
    </row>
    <row r="24" spans="1:35" x14ac:dyDescent="0.25">
      <c r="A24" t="s">
        <v>136</v>
      </c>
      <c r="B24" s="10" t="s">
        <v>41</v>
      </c>
      <c r="C24" t="s">
        <v>144</v>
      </c>
      <c r="D24" s="17">
        <f>SUM(H24:L24)</f>
        <v>50</v>
      </c>
      <c r="E24" s="17">
        <v>0</v>
      </c>
      <c r="F24" s="17">
        <v>0</v>
      </c>
      <c r="G24" s="17">
        <v>0</v>
      </c>
      <c r="H24" s="17">
        <v>10</v>
      </c>
      <c r="I24" s="17">
        <v>10</v>
      </c>
      <c r="J24" s="17">
        <v>10</v>
      </c>
      <c r="K24" s="17">
        <v>10</v>
      </c>
      <c r="L24" s="17">
        <v>10</v>
      </c>
      <c r="M24" s="17">
        <v>0</v>
      </c>
      <c r="N24" s="17">
        <v>0</v>
      </c>
      <c r="O24" s="17">
        <v>0</v>
      </c>
      <c r="P24" s="17">
        <v>0</v>
      </c>
      <c r="Q24" s="17">
        <v>0</v>
      </c>
      <c r="R24" s="17">
        <v>0</v>
      </c>
      <c r="S24" s="17">
        <v>0</v>
      </c>
      <c r="T24" s="17">
        <v>0</v>
      </c>
      <c r="U24" s="17">
        <v>0</v>
      </c>
      <c r="V24" s="17">
        <v>0</v>
      </c>
      <c r="W24" s="17">
        <v>0</v>
      </c>
      <c r="X24" s="17">
        <v>0</v>
      </c>
      <c r="Y24" s="17">
        <v>0</v>
      </c>
      <c r="Z24" s="17">
        <v>0</v>
      </c>
      <c r="AA24" s="17">
        <v>0</v>
      </c>
      <c r="AB24" s="17">
        <v>0</v>
      </c>
      <c r="AC24" s="17">
        <v>0</v>
      </c>
      <c r="AD24" s="17">
        <v>0</v>
      </c>
      <c r="AE24" s="17">
        <v>0</v>
      </c>
      <c r="AF24" s="17">
        <v>0</v>
      </c>
      <c r="AG24" s="17">
        <v>0</v>
      </c>
      <c r="AH24" s="17">
        <v>0</v>
      </c>
      <c r="AI24" s="17">
        <v>0</v>
      </c>
    </row>
    <row r="25" spans="1:35" x14ac:dyDescent="0.25">
      <c r="A25" t="s">
        <v>140</v>
      </c>
      <c r="B25" s="10" t="s">
        <v>172</v>
      </c>
      <c r="C25" t="s">
        <v>120</v>
      </c>
      <c r="D25" s="18">
        <f>NPV(0.05,F25:AI25)</f>
        <v>3374758.4961177087</v>
      </c>
      <c r="E25" s="18">
        <f>E24*E34</f>
        <v>0</v>
      </c>
      <c r="F25" s="18">
        <f t="shared" ref="F25:AI25" si="17">F24*F34</f>
        <v>0</v>
      </c>
      <c r="G25" s="18">
        <f t="shared" si="17"/>
        <v>0</v>
      </c>
      <c r="H25" s="18">
        <f t="shared" si="17"/>
        <v>815050</v>
      </c>
      <c r="I25" s="18">
        <f t="shared" si="17"/>
        <v>837727.5</v>
      </c>
      <c r="J25" s="18">
        <f t="shared" si="17"/>
        <v>861036</v>
      </c>
      <c r="K25" s="18">
        <f t="shared" si="17"/>
        <v>884993</v>
      </c>
      <c r="L25" s="18">
        <f t="shared" si="17"/>
        <v>909616.60000000009</v>
      </c>
      <c r="M25" s="18">
        <f t="shared" si="17"/>
        <v>0</v>
      </c>
      <c r="N25" s="18">
        <f t="shared" si="17"/>
        <v>0</v>
      </c>
      <c r="O25" s="18">
        <f t="shared" si="17"/>
        <v>0</v>
      </c>
      <c r="P25" s="18">
        <f t="shared" si="17"/>
        <v>0</v>
      </c>
      <c r="Q25" s="18">
        <f t="shared" si="17"/>
        <v>0</v>
      </c>
      <c r="R25" s="18">
        <f t="shared" si="17"/>
        <v>0</v>
      </c>
      <c r="S25" s="18">
        <f t="shared" si="17"/>
        <v>0</v>
      </c>
      <c r="T25" s="18">
        <f t="shared" si="17"/>
        <v>0</v>
      </c>
      <c r="U25" s="18">
        <f t="shared" si="17"/>
        <v>0</v>
      </c>
      <c r="V25" s="18">
        <f t="shared" si="17"/>
        <v>0</v>
      </c>
      <c r="W25" s="18">
        <f t="shared" si="17"/>
        <v>0</v>
      </c>
      <c r="X25" s="18">
        <f t="shared" si="17"/>
        <v>0</v>
      </c>
      <c r="Y25" s="18">
        <f t="shared" si="17"/>
        <v>0</v>
      </c>
      <c r="Z25" s="18">
        <f t="shared" si="17"/>
        <v>0</v>
      </c>
      <c r="AA25" s="18">
        <f t="shared" si="17"/>
        <v>0</v>
      </c>
      <c r="AB25" s="18">
        <f t="shared" si="17"/>
        <v>0</v>
      </c>
      <c r="AC25" s="18">
        <f t="shared" si="17"/>
        <v>0</v>
      </c>
      <c r="AD25" s="18">
        <f t="shared" si="17"/>
        <v>0</v>
      </c>
      <c r="AE25" s="18">
        <f t="shared" si="17"/>
        <v>0</v>
      </c>
      <c r="AF25" s="18">
        <f t="shared" si="17"/>
        <v>0</v>
      </c>
      <c r="AG25" s="18">
        <f t="shared" si="17"/>
        <v>0</v>
      </c>
      <c r="AH25" s="18">
        <f t="shared" si="17"/>
        <v>0</v>
      </c>
      <c r="AI25" s="18">
        <f t="shared" si="17"/>
        <v>0</v>
      </c>
    </row>
    <row r="26" spans="1:35" ht="18" customHeight="1" x14ac:dyDescent="0.25">
      <c r="A26" t="s">
        <v>137</v>
      </c>
      <c r="B26" t="s">
        <v>349</v>
      </c>
      <c r="C26" t="s">
        <v>144</v>
      </c>
      <c r="D26" s="17">
        <v>130</v>
      </c>
      <c r="E26" s="17">
        <v>0</v>
      </c>
      <c r="F26" s="17">
        <f>$L$26/7</f>
        <v>18.571428571428573</v>
      </c>
      <c r="G26" s="17">
        <f>F26+$L$26/7</f>
        <v>37.142857142857146</v>
      </c>
      <c r="H26" s="17">
        <f>G26+$L$26/7</f>
        <v>55.714285714285722</v>
      </c>
      <c r="I26" s="17">
        <f>H26+$L$26/7</f>
        <v>74.285714285714292</v>
      </c>
      <c r="J26" s="17">
        <f>I26+$L$26/7</f>
        <v>92.857142857142861</v>
      </c>
      <c r="K26" s="17">
        <f>J26+$L$26/7</f>
        <v>111.42857142857143</v>
      </c>
      <c r="L26" s="17">
        <v>130</v>
      </c>
      <c r="M26" s="17">
        <f>L26</f>
        <v>130</v>
      </c>
      <c r="N26" s="17">
        <f t="shared" ref="N26:AI26" si="18">M26</f>
        <v>130</v>
      </c>
      <c r="O26" s="17">
        <f t="shared" si="18"/>
        <v>130</v>
      </c>
      <c r="P26" s="17">
        <f t="shared" si="18"/>
        <v>130</v>
      </c>
      <c r="Q26" s="17">
        <f t="shared" si="18"/>
        <v>130</v>
      </c>
      <c r="R26" s="17">
        <f t="shared" si="18"/>
        <v>130</v>
      </c>
      <c r="S26" s="17">
        <f t="shared" si="18"/>
        <v>130</v>
      </c>
      <c r="T26" s="17">
        <f t="shared" si="18"/>
        <v>130</v>
      </c>
      <c r="U26" s="17">
        <f t="shared" si="18"/>
        <v>130</v>
      </c>
      <c r="V26" s="17">
        <f t="shared" si="18"/>
        <v>130</v>
      </c>
      <c r="W26" s="17">
        <f t="shared" si="18"/>
        <v>130</v>
      </c>
      <c r="X26" s="17">
        <f t="shared" si="18"/>
        <v>130</v>
      </c>
      <c r="Y26" s="17">
        <f t="shared" si="18"/>
        <v>130</v>
      </c>
      <c r="Z26" s="17">
        <f t="shared" si="18"/>
        <v>130</v>
      </c>
      <c r="AA26" s="17">
        <f t="shared" si="18"/>
        <v>130</v>
      </c>
      <c r="AB26" s="17">
        <f t="shared" si="18"/>
        <v>130</v>
      </c>
      <c r="AC26" s="17">
        <f t="shared" si="18"/>
        <v>130</v>
      </c>
      <c r="AD26" s="17">
        <f t="shared" si="18"/>
        <v>130</v>
      </c>
      <c r="AE26" s="17">
        <f t="shared" si="18"/>
        <v>130</v>
      </c>
      <c r="AF26" s="17">
        <f t="shared" si="18"/>
        <v>130</v>
      </c>
      <c r="AG26" s="17">
        <f t="shared" si="18"/>
        <v>130</v>
      </c>
      <c r="AH26" s="17">
        <f t="shared" si="18"/>
        <v>130</v>
      </c>
      <c r="AI26" s="17">
        <f t="shared" si="18"/>
        <v>130</v>
      </c>
    </row>
    <row r="27" spans="1:35" ht="18" customHeight="1" x14ac:dyDescent="0.25">
      <c r="A27" t="s">
        <v>139</v>
      </c>
      <c r="B27" t="s">
        <v>173</v>
      </c>
      <c r="C27" t="s">
        <v>120</v>
      </c>
      <c r="D27" s="18">
        <f>NPV(0.05,F27:AI27)</f>
        <v>11327268.41516421</v>
      </c>
      <c r="E27" s="18">
        <f>E26*E42</f>
        <v>0</v>
      </c>
      <c r="F27" s="18">
        <f t="shared" ref="F27:AI27" si="19">F26*F42</f>
        <v>33227.25324285715</v>
      </c>
      <c r="G27" s="18">
        <f t="shared" si="19"/>
        <v>72435.412069428596</v>
      </c>
      <c r="H27" s="18">
        <f t="shared" si="19"/>
        <v>118431.89873351579</v>
      </c>
      <c r="I27" s="18">
        <f t="shared" si="19"/>
        <v>172121.02615937628</v>
      </c>
      <c r="J27" s="18">
        <f t="shared" si="19"/>
        <v>234514.8981421502</v>
      </c>
      <c r="K27" s="18">
        <f t="shared" si="19"/>
        <v>306745.4867699325</v>
      </c>
      <c r="L27" s="18">
        <f t="shared" si="19"/>
        <v>390078.01067576418</v>
      </c>
      <c r="M27" s="18">
        <f t="shared" si="19"/>
        <v>425185.03163658298</v>
      </c>
      <c r="N27" s="18">
        <f t="shared" si="19"/>
        <v>463451.68448387546</v>
      </c>
      <c r="O27" s="18">
        <f t="shared" si="19"/>
        <v>505162.33608742431</v>
      </c>
      <c r="P27" s="18">
        <f t="shared" si="19"/>
        <v>550626.94633529254</v>
      </c>
      <c r="Q27" s="18">
        <f t="shared" si="19"/>
        <v>600183.37150546885</v>
      </c>
      <c r="R27" s="18">
        <f t="shared" si="19"/>
        <v>654199.87494096113</v>
      </c>
      <c r="S27" s="18">
        <f t="shared" si="19"/>
        <v>713077.86368564772</v>
      </c>
      <c r="T27" s="18">
        <f t="shared" si="19"/>
        <v>777254.87141735607</v>
      </c>
      <c r="U27" s="18">
        <f t="shared" si="19"/>
        <v>847207.8098449182</v>
      </c>
      <c r="V27" s="18">
        <f t="shared" si="19"/>
        <v>923456.51273096085</v>
      </c>
      <c r="W27" s="18">
        <f t="shared" si="19"/>
        <v>1006567.5988767475</v>
      </c>
      <c r="X27" s="18">
        <f t="shared" si="19"/>
        <v>1097158.6827756548</v>
      </c>
      <c r="Y27" s="18">
        <f t="shared" si="19"/>
        <v>1195902.964225464</v>
      </c>
      <c r="Z27" s="18">
        <f t="shared" si="19"/>
        <v>1303534.231005756</v>
      </c>
      <c r="AA27" s="18">
        <f t="shared" si="19"/>
        <v>1420852.311796274</v>
      </c>
      <c r="AB27" s="18">
        <f t="shared" si="19"/>
        <v>1548729.0198579389</v>
      </c>
      <c r="AC27" s="18">
        <f t="shared" si="19"/>
        <v>1688114.6316451535</v>
      </c>
      <c r="AD27" s="18">
        <f t="shared" si="19"/>
        <v>1840044.9484932176</v>
      </c>
      <c r="AE27" s="18">
        <f t="shared" si="19"/>
        <v>2005648.9938576072</v>
      </c>
      <c r="AF27" s="18">
        <f t="shared" si="19"/>
        <v>2186157.403304792</v>
      </c>
      <c r="AG27" s="18">
        <f t="shared" si="19"/>
        <v>2382911.5696022236</v>
      </c>
      <c r="AH27" s="18">
        <f t="shared" si="19"/>
        <v>2597373.6108664237</v>
      </c>
      <c r="AI27" s="18">
        <f t="shared" si="19"/>
        <v>2831137.2358444021</v>
      </c>
    </row>
    <row r="28" spans="1:35" x14ac:dyDescent="0.25">
      <c r="A28" t="s">
        <v>138</v>
      </c>
      <c r="B28" t="s">
        <v>350</v>
      </c>
      <c r="C28" t="s">
        <v>144</v>
      </c>
      <c r="D28" s="17">
        <v>260</v>
      </c>
      <c r="E28" s="19">
        <v>0</v>
      </c>
      <c r="F28" s="17">
        <f t="shared" ref="F28:L28" si="20">F26*2</f>
        <v>37.142857142857146</v>
      </c>
      <c r="G28" s="17">
        <f t="shared" si="20"/>
        <v>74.285714285714292</v>
      </c>
      <c r="H28" s="17">
        <f t="shared" si="20"/>
        <v>111.42857142857144</v>
      </c>
      <c r="I28" s="17">
        <f t="shared" si="20"/>
        <v>148.57142857142858</v>
      </c>
      <c r="J28" s="17">
        <f t="shared" si="20"/>
        <v>185.71428571428572</v>
      </c>
      <c r="K28" s="17">
        <f t="shared" si="20"/>
        <v>222.85714285714286</v>
      </c>
      <c r="L28" s="17">
        <f t="shared" si="20"/>
        <v>260</v>
      </c>
      <c r="M28" s="17">
        <f>L28</f>
        <v>260</v>
      </c>
      <c r="N28" s="17">
        <f t="shared" ref="N28:O28" si="21">M28</f>
        <v>260</v>
      </c>
      <c r="O28" s="17">
        <f t="shared" si="21"/>
        <v>260</v>
      </c>
      <c r="P28" s="17">
        <f t="shared" ref="P28:U28" si="22">$O$28-F28</f>
        <v>222.85714285714286</v>
      </c>
      <c r="Q28" s="17">
        <f t="shared" si="22"/>
        <v>185.71428571428572</v>
      </c>
      <c r="R28" s="17">
        <f t="shared" si="22"/>
        <v>148.57142857142856</v>
      </c>
      <c r="S28" s="17">
        <f t="shared" si="22"/>
        <v>111.42857142857142</v>
      </c>
      <c r="T28" s="17">
        <f t="shared" si="22"/>
        <v>74.285714285714278</v>
      </c>
      <c r="U28" s="17">
        <f t="shared" si="22"/>
        <v>37.142857142857139</v>
      </c>
      <c r="V28" s="17">
        <v>0</v>
      </c>
      <c r="W28" s="17">
        <v>0</v>
      </c>
      <c r="X28" s="17">
        <v>0</v>
      </c>
      <c r="Y28" s="17">
        <v>0</v>
      </c>
      <c r="Z28" s="17">
        <v>0</v>
      </c>
      <c r="AA28" s="17">
        <v>0</v>
      </c>
      <c r="AB28" s="17">
        <v>0</v>
      </c>
      <c r="AC28" s="17">
        <v>0</v>
      </c>
      <c r="AD28" s="17">
        <v>0</v>
      </c>
      <c r="AE28" s="17">
        <v>0</v>
      </c>
      <c r="AF28" s="17">
        <v>0</v>
      </c>
      <c r="AG28" s="17">
        <v>0</v>
      </c>
      <c r="AH28" s="17">
        <v>0</v>
      </c>
      <c r="AI28" s="17">
        <v>0</v>
      </c>
    </row>
    <row r="29" spans="1:35" x14ac:dyDescent="0.25">
      <c r="A29" t="s">
        <v>141</v>
      </c>
      <c r="B29" t="s">
        <v>174</v>
      </c>
      <c r="C29" t="s">
        <v>120</v>
      </c>
      <c r="D29" s="18">
        <f>NPV(0.05,F29:AI29)</f>
        <v>3687442.237292855</v>
      </c>
      <c r="E29" s="18">
        <f>E28*E35</f>
        <v>0</v>
      </c>
      <c r="F29" s="18">
        <f t="shared" ref="F29:AI29" si="23">F28*F35</f>
        <v>61717.054285714294</v>
      </c>
      <c r="G29" s="18">
        <f t="shared" si="23"/>
        <v>127018.87714285713</v>
      </c>
      <c r="H29" s="18">
        <f t="shared" si="23"/>
        <v>195831.59142857144</v>
      </c>
      <c r="I29" s="18">
        <f t="shared" si="23"/>
        <v>270717.27428571432</v>
      </c>
      <c r="J29" s="18">
        <f t="shared" si="23"/>
        <v>350849.29285714286</v>
      </c>
      <c r="K29" s="18">
        <f t="shared" si="23"/>
        <v>436512.29142857139</v>
      </c>
      <c r="L29" s="18">
        <f t="shared" si="23"/>
        <v>528005.01</v>
      </c>
      <c r="M29" s="18">
        <f t="shared" si="23"/>
        <v>547435.19999999995</v>
      </c>
      <c r="N29" s="18">
        <f t="shared" si="23"/>
        <v>567580.25999999989</v>
      </c>
      <c r="O29" s="18">
        <f t="shared" si="23"/>
        <v>588466.71</v>
      </c>
      <c r="P29" s="18">
        <f t="shared" si="23"/>
        <v>522961.58571428573</v>
      </c>
      <c r="Q29" s="18">
        <f t="shared" si="23"/>
        <v>451838.4</v>
      </c>
      <c r="R29" s="18">
        <f t="shared" si="23"/>
        <v>374772.39428571425</v>
      </c>
      <c r="S29" s="18">
        <f t="shared" si="23"/>
        <v>291422.76428571425</v>
      </c>
      <c r="T29" s="18">
        <f t="shared" si="23"/>
        <v>201431.21142857141</v>
      </c>
      <c r="U29" s="18">
        <f t="shared" si="23"/>
        <v>104421.88714285713</v>
      </c>
      <c r="V29" s="18">
        <f t="shared" si="23"/>
        <v>0</v>
      </c>
      <c r="W29" s="18">
        <f t="shared" si="23"/>
        <v>0</v>
      </c>
      <c r="X29" s="18">
        <f t="shared" si="23"/>
        <v>0</v>
      </c>
      <c r="Y29" s="18">
        <f t="shared" si="23"/>
        <v>0</v>
      </c>
      <c r="Z29" s="18">
        <f t="shared" si="23"/>
        <v>0</v>
      </c>
      <c r="AA29" s="18">
        <f t="shared" si="23"/>
        <v>0</v>
      </c>
      <c r="AB29" s="18">
        <f t="shared" si="23"/>
        <v>0</v>
      </c>
      <c r="AC29" s="18">
        <f t="shared" si="23"/>
        <v>0</v>
      </c>
      <c r="AD29" s="18">
        <f t="shared" si="23"/>
        <v>0</v>
      </c>
      <c r="AE29" s="18">
        <f t="shared" si="23"/>
        <v>0</v>
      </c>
      <c r="AF29" s="18">
        <f t="shared" si="23"/>
        <v>0</v>
      </c>
      <c r="AG29" s="18">
        <f t="shared" si="23"/>
        <v>0</v>
      </c>
      <c r="AH29" s="18">
        <f t="shared" si="23"/>
        <v>0</v>
      </c>
      <c r="AI29" s="18">
        <f t="shared" si="23"/>
        <v>0</v>
      </c>
    </row>
    <row r="30" spans="1:35" x14ac:dyDescent="0.25">
      <c r="A30" t="s">
        <v>145</v>
      </c>
      <c r="B30" s="13" t="s">
        <v>351</v>
      </c>
      <c r="C30" t="s">
        <v>144</v>
      </c>
      <c r="D30" s="17">
        <v>130</v>
      </c>
      <c r="E30" s="17"/>
      <c r="F30" s="17">
        <v>20</v>
      </c>
      <c r="G30" s="17">
        <v>40</v>
      </c>
      <c r="H30" s="17">
        <v>60</v>
      </c>
      <c r="I30" s="17">
        <v>80</v>
      </c>
      <c r="J30" s="17">
        <v>100</v>
      </c>
      <c r="K30" s="17">
        <v>120</v>
      </c>
      <c r="L30" s="17">
        <v>130</v>
      </c>
      <c r="M30" s="17">
        <v>130</v>
      </c>
      <c r="N30" s="17">
        <v>130</v>
      </c>
      <c r="O30" s="17">
        <v>130</v>
      </c>
      <c r="P30" s="17">
        <f>O30</f>
        <v>130</v>
      </c>
      <c r="Q30" s="17">
        <f t="shared" ref="Q30:AI30" si="24">P30</f>
        <v>130</v>
      </c>
      <c r="R30" s="17">
        <f t="shared" si="24"/>
        <v>130</v>
      </c>
      <c r="S30" s="17">
        <f t="shared" si="24"/>
        <v>130</v>
      </c>
      <c r="T30" s="17">
        <f t="shared" si="24"/>
        <v>130</v>
      </c>
      <c r="U30" s="17">
        <f t="shared" si="24"/>
        <v>130</v>
      </c>
      <c r="V30" s="17">
        <f t="shared" si="24"/>
        <v>130</v>
      </c>
      <c r="W30" s="17">
        <f t="shared" si="24"/>
        <v>130</v>
      </c>
      <c r="X30" s="17">
        <f t="shared" si="24"/>
        <v>130</v>
      </c>
      <c r="Y30" s="17">
        <f t="shared" si="24"/>
        <v>130</v>
      </c>
      <c r="Z30" s="17">
        <f t="shared" si="24"/>
        <v>130</v>
      </c>
      <c r="AA30" s="17">
        <f t="shared" si="24"/>
        <v>130</v>
      </c>
      <c r="AB30" s="17">
        <f t="shared" si="24"/>
        <v>130</v>
      </c>
      <c r="AC30" s="17">
        <f t="shared" si="24"/>
        <v>130</v>
      </c>
      <c r="AD30" s="17">
        <f t="shared" si="24"/>
        <v>130</v>
      </c>
      <c r="AE30" s="17">
        <f t="shared" si="24"/>
        <v>130</v>
      </c>
      <c r="AF30" s="17">
        <f t="shared" si="24"/>
        <v>130</v>
      </c>
      <c r="AG30" s="17">
        <f t="shared" si="24"/>
        <v>130</v>
      </c>
      <c r="AH30" s="17">
        <f t="shared" si="24"/>
        <v>130</v>
      </c>
      <c r="AI30" s="17">
        <f t="shared" si="24"/>
        <v>130</v>
      </c>
    </row>
    <row r="31" spans="1:35" x14ac:dyDescent="0.25">
      <c r="A31" t="s">
        <v>171</v>
      </c>
      <c r="B31" t="s">
        <v>175</v>
      </c>
      <c r="C31" t="s">
        <v>120</v>
      </c>
      <c r="D31" s="18">
        <f>NPV(0.05,F31:AI31)</f>
        <v>30101962.811859917</v>
      </c>
      <c r="E31" s="18">
        <f>E30*E36*0.1</f>
        <v>0</v>
      </c>
      <c r="F31" s="18">
        <f t="shared" ref="F31:AI31" si="25">F30*F36*0.1</f>
        <v>220524.86</v>
      </c>
      <c r="G31" s="18">
        <f t="shared" si="25"/>
        <v>453858.36</v>
      </c>
      <c r="H31" s="18">
        <f t="shared" si="25"/>
        <v>699737.16</v>
      </c>
      <c r="I31" s="18">
        <f t="shared" si="25"/>
        <v>967315.76</v>
      </c>
      <c r="J31" s="18">
        <f t="shared" si="25"/>
        <v>1253640.2</v>
      </c>
      <c r="K31" s="18">
        <f t="shared" si="25"/>
        <v>1559727.6</v>
      </c>
      <c r="L31" s="18">
        <f t="shared" si="25"/>
        <v>1751884.55</v>
      </c>
      <c r="M31" s="18">
        <f t="shared" si="25"/>
        <v>1816352.33</v>
      </c>
      <c r="N31" s="18">
        <f t="shared" si="25"/>
        <v>1883192.4800000002</v>
      </c>
      <c r="O31" s="18">
        <f t="shared" si="25"/>
        <v>1952492.2300000002</v>
      </c>
      <c r="P31" s="18">
        <f t="shared" si="25"/>
        <v>2024342.1900000004</v>
      </c>
      <c r="Q31" s="18">
        <f t="shared" si="25"/>
        <v>2098836.2200000002</v>
      </c>
      <c r="R31" s="18">
        <f t="shared" si="25"/>
        <v>2176071.56</v>
      </c>
      <c r="S31" s="18">
        <f t="shared" si="25"/>
        <v>2256148.9600000004</v>
      </c>
      <c r="T31" s="18">
        <f t="shared" si="25"/>
        <v>2339173.2000000002</v>
      </c>
      <c r="U31" s="18">
        <f t="shared" si="25"/>
        <v>2425252.7000000002</v>
      </c>
      <c r="V31" s="18">
        <f t="shared" si="25"/>
        <v>2514499.91</v>
      </c>
      <c r="W31" s="18">
        <f t="shared" si="25"/>
        <v>2607031.1799999997</v>
      </c>
      <c r="X31" s="18">
        <f t="shared" si="25"/>
        <v>2702967.67</v>
      </c>
      <c r="Y31" s="18">
        <f t="shared" si="25"/>
        <v>2802434.4400000004</v>
      </c>
      <c r="Z31" s="18">
        <f t="shared" si="25"/>
        <v>2905561.49</v>
      </c>
      <c r="AA31" s="18">
        <f t="shared" si="25"/>
        <v>3012483.5</v>
      </c>
      <c r="AB31" s="18">
        <f t="shared" si="25"/>
        <v>3123340.22</v>
      </c>
      <c r="AC31" s="18">
        <f t="shared" si="25"/>
        <v>3238276.34</v>
      </c>
      <c r="AD31" s="18">
        <f t="shared" si="25"/>
        <v>3357442.0100000002</v>
      </c>
      <c r="AE31" s="18">
        <f t="shared" si="25"/>
        <v>3480992.84</v>
      </c>
      <c r="AF31" s="18">
        <f t="shared" si="25"/>
        <v>3609090.29</v>
      </c>
      <c r="AG31" s="18">
        <f t="shared" si="25"/>
        <v>3741901.6700000004</v>
      </c>
      <c r="AH31" s="18">
        <f t="shared" si="25"/>
        <v>3879600.2699999996</v>
      </c>
      <c r="AI31" s="18">
        <f t="shared" si="25"/>
        <v>4022366.0100000002</v>
      </c>
    </row>
    <row r="33" spans="1:35" ht="18" customHeight="1" x14ac:dyDescent="0.25">
      <c r="A33" s="2" t="s">
        <v>147</v>
      </c>
      <c r="B33" s="2" t="s">
        <v>42</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8" customHeight="1" x14ac:dyDescent="0.25">
      <c r="A34" t="s">
        <v>148</v>
      </c>
      <c r="B34" t="s">
        <v>8</v>
      </c>
      <c r="C34" t="s">
        <v>120</v>
      </c>
      <c r="D34" s="19"/>
      <c r="E34" s="17">
        <v>76964.649999999994</v>
      </c>
      <c r="F34" s="17">
        <v>78792.179999999993</v>
      </c>
      <c r="G34" s="17">
        <v>80260.03</v>
      </c>
      <c r="H34" s="17">
        <v>81505</v>
      </c>
      <c r="I34" s="17">
        <v>83772.75</v>
      </c>
      <c r="J34" s="17">
        <v>86103.6</v>
      </c>
      <c r="K34" s="17">
        <v>88499.3</v>
      </c>
      <c r="L34" s="17">
        <v>90961.66</v>
      </c>
      <c r="M34" s="17">
        <v>93492.53</v>
      </c>
      <c r="N34" s="17">
        <v>96093.82</v>
      </c>
      <c r="O34" s="17">
        <v>98767.49</v>
      </c>
      <c r="P34" s="17">
        <v>101515.55</v>
      </c>
      <c r="Q34" s="17">
        <v>104340.06</v>
      </c>
      <c r="R34" s="17">
        <v>107243.17</v>
      </c>
      <c r="S34" s="17">
        <v>110227.05</v>
      </c>
      <c r="T34" s="17">
        <v>113293.95</v>
      </c>
      <c r="U34" s="17">
        <v>116446.18</v>
      </c>
      <c r="V34" s="17">
        <v>119686.12</v>
      </c>
      <c r="W34" s="17">
        <v>123016.21</v>
      </c>
      <c r="X34" s="17">
        <v>126438.95</v>
      </c>
      <c r="Y34" s="17">
        <v>129956.93</v>
      </c>
      <c r="Z34" s="17">
        <v>133572.78</v>
      </c>
      <c r="AA34" s="17">
        <v>137289.24</v>
      </c>
      <c r="AB34" s="17">
        <v>141109.10999999999</v>
      </c>
      <c r="AC34" s="17">
        <v>145035.26</v>
      </c>
      <c r="AD34" s="17">
        <v>149070.65</v>
      </c>
      <c r="AE34" s="17">
        <v>153218.31</v>
      </c>
      <c r="AF34" s="17">
        <v>157481.38</v>
      </c>
      <c r="AG34" s="17">
        <v>161863.06</v>
      </c>
      <c r="AH34" s="17">
        <v>166366.66</v>
      </c>
      <c r="AI34" s="17">
        <v>170995.56</v>
      </c>
    </row>
    <row r="35" spans="1:35" ht="18" customHeight="1" x14ac:dyDescent="0.25">
      <c r="A35" t="s">
        <v>149</v>
      </c>
      <c r="B35" s="12" t="s">
        <v>45</v>
      </c>
      <c r="C35" t="s">
        <v>120</v>
      </c>
      <c r="D35" s="19"/>
      <c r="E35" s="17">
        <v>1601.2560000000001</v>
      </c>
      <c r="F35" s="38">
        <v>1661.6130000000001</v>
      </c>
      <c r="G35" s="17">
        <v>1709.8694999999998</v>
      </c>
      <c r="H35" s="17">
        <v>1757.463</v>
      </c>
      <c r="I35" s="17">
        <v>1822.1354999999999</v>
      </c>
      <c r="J35" s="17">
        <v>1889.1885</v>
      </c>
      <c r="K35" s="17">
        <v>1958.7089999999998</v>
      </c>
      <c r="L35" s="17">
        <v>2030.7884999999999</v>
      </c>
      <c r="M35" s="17">
        <v>2105.52</v>
      </c>
      <c r="N35" s="17">
        <v>2183.0009999999997</v>
      </c>
      <c r="O35" s="17">
        <v>2263.3334999999997</v>
      </c>
      <c r="P35" s="17">
        <v>2346.6224999999999</v>
      </c>
      <c r="Q35" s="17">
        <v>2432.9760000000001</v>
      </c>
      <c r="R35" s="17">
        <v>2522.5065</v>
      </c>
      <c r="S35" s="17">
        <v>2615.3325</v>
      </c>
      <c r="T35" s="17">
        <v>2711.5740000000001</v>
      </c>
      <c r="U35" s="17">
        <v>2811.3584999999998</v>
      </c>
      <c r="V35" s="17">
        <v>2914.8134999999997</v>
      </c>
      <c r="W35" s="17">
        <v>3022.0754999999995</v>
      </c>
      <c r="X35" s="17">
        <v>3133.2855</v>
      </c>
      <c r="Y35" s="17">
        <v>3248.5875000000001</v>
      </c>
      <c r="Z35" s="17">
        <v>3368.1330000000003</v>
      </c>
      <c r="AA35" s="17">
        <v>3492.078</v>
      </c>
      <c r="AB35" s="17">
        <v>3620.5830000000001</v>
      </c>
      <c r="AC35" s="17">
        <v>3753.8175000000001</v>
      </c>
      <c r="AD35" s="17">
        <v>3891.9539999999997</v>
      </c>
      <c r="AE35" s="17">
        <v>4035.174</v>
      </c>
      <c r="AF35" s="17">
        <v>4183.665</v>
      </c>
      <c r="AG35" s="17">
        <v>4337.6205</v>
      </c>
      <c r="AH35" s="17">
        <v>4497.2415000000001</v>
      </c>
      <c r="AI35" s="17">
        <v>4662.7349999999997</v>
      </c>
    </row>
    <row r="36" spans="1:35" ht="18" customHeight="1" x14ac:dyDescent="0.25">
      <c r="A36" t="s">
        <v>150</v>
      </c>
      <c r="B36" t="s">
        <v>11</v>
      </c>
      <c r="C36" t="s">
        <v>120</v>
      </c>
      <c r="D36" s="19"/>
      <c r="E36" s="17">
        <v>106257.2</v>
      </c>
      <c r="F36" s="17">
        <v>110262.43</v>
      </c>
      <c r="G36" s="17">
        <v>113464.59</v>
      </c>
      <c r="H36" s="17">
        <v>116622.86</v>
      </c>
      <c r="I36" s="17">
        <v>120914.47</v>
      </c>
      <c r="J36" s="17">
        <v>125364.02</v>
      </c>
      <c r="K36" s="17">
        <v>129977.3</v>
      </c>
      <c r="L36" s="17">
        <v>134760.35</v>
      </c>
      <c r="M36" s="17">
        <v>139719.41</v>
      </c>
      <c r="N36" s="17">
        <v>144860.96</v>
      </c>
      <c r="O36" s="17">
        <v>150191.71</v>
      </c>
      <c r="P36" s="17">
        <v>155718.63</v>
      </c>
      <c r="Q36" s="17">
        <v>161448.94</v>
      </c>
      <c r="R36" s="17">
        <v>167390.12</v>
      </c>
      <c r="S36" s="17">
        <v>173549.92</v>
      </c>
      <c r="T36" s="17">
        <v>179936.4</v>
      </c>
      <c r="U36" s="17">
        <v>186557.9</v>
      </c>
      <c r="V36" s="17">
        <v>193423.07</v>
      </c>
      <c r="W36" s="17">
        <v>200540.86</v>
      </c>
      <c r="X36" s="17">
        <v>207920.59</v>
      </c>
      <c r="Y36" s="17">
        <v>215571.88</v>
      </c>
      <c r="Z36" s="17">
        <v>223504.73</v>
      </c>
      <c r="AA36" s="17">
        <v>231729.5</v>
      </c>
      <c r="AB36" s="17">
        <v>240256.94</v>
      </c>
      <c r="AC36" s="17">
        <v>249098.18</v>
      </c>
      <c r="AD36" s="17">
        <v>258264.77</v>
      </c>
      <c r="AE36" s="17">
        <v>267768.68</v>
      </c>
      <c r="AF36" s="17">
        <v>277622.33</v>
      </c>
      <c r="AG36" s="17">
        <v>287838.59000000003</v>
      </c>
      <c r="AH36" s="17">
        <v>298430.78999999998</v>
      </c>
      <c r="AI36" s="17">
        <v>309412.77</v>
      </c>
    </row>
    <row r="38" spans="1:35" x14ac:dyDescent="0.25">
      <c r="A38" s="2" t="s">
        <v>155</v>
      </c>
      <c r="B38" s="2" t="s">
        <v>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18" customHeight="1" x14ac:dyDescent="0.25">
      <c r="A39" s="7" t="s">
        <v>156</v>
      </c>
      <c r="B39" s="7" t="s">
        <v>255</v>
      </c>
      <c r="C39" t="s">
        <v>120</v>
      </c>
      <c r="D39" s="17">
        <v>73333</v>
      </c>
    </row>
    <row r="40" spans="1:35" x14ac:dyDescent="0.25">
      <c r="D40" s="3"/>
    </row>
    <row r="41" spans="1:35" x14ac:dyDescent="0.25">
      <c r="A41" s="2" t="s">
        <v>160</v>
      </c>
      <c r="B41" s="2" t="s">
        <v>81</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5">
      <c r="A42" t="s">
        <v>158</v>
      </c>
      <c r="B42" s="1" t="s">
        <v>352</v>
      </c>
      <c r="C42" t="s">
        <v>120</v>
      </c>
      <c r="D42" s="26">
        <v>1505.9</v>
      </c>
      <c r="E42" s="17">
        <f>D42*1.09</f>
        <v>1641.4310000000003</v>
      </c>
      <c r="F42" s="17">
        <f t="shared" ref="F42:L42" si="26">E42*1.09</f>
        <v>1789.1597900000004</v>
      </c>
      <c r="G42" s="17">
        <f t="shared" si="26"/>
        <v>1950.1841711000006</v>
      </c>
      <c r="H42" s="17">
        <f t="shared" si="26"/>
        <v>2125.7007464990011</v>
      </c>
      <c r="I42" s="17">
        <f t="shared" si="26"/>
        <v>2317.0138136839114</v>
      </c>
      <c r="J42" s="17">
        <f t="shared" si="26"/>
        <v>2525.5450569154636</v>
      </c>
      <c r="K42" s="17">
        <f t="shared" si="26"/>
        <v>2752.8441120378557</v>
      </c>
      <c r="L42" s="17">
        <f t="shared" si="26"/>
        <v>3000.6000821212629</v>
      </c>
      <c r="M42" s="17">
        <f t="shared" ref="M42" si="27">L42*1.09</f>
        <v>3270.6540895121766</v>
      </c>
      <c r="N42" s="17">
        <f t="shared" ref="N42" si="28">M42*1.09</f>
        <v>3565.0129575682727</v>
      </c>
      <c r="O42" s="17">
        <f t="shared" ref="O42" si="29">N42*1.09</f>
        <v>3885.8641237494176</v>
      </c>
      <c r="P42" s="17">
        <f t="shared" ref="P42" si="30">O42*1.09</f>
        <v>4235.5918948868657</v>
      </c>
      <c r="Q42" s="17">
        <f t="shared" ref="Q42" si="31">P42*1.09</f>
        <v>4616.7951654266835</v>
      </c>
      <c r="R42" s="17">
        <f t="shared" ref="R42" si="32">Q42*1.09</f>
        <v>5032.3067303150856</v>
      </c>
      <c r="S42" s="17">
        <f t="shared" ref="S42" si="33">R42*1.09</f>
        <v>5485.2143360434438</v>
      </c>
      <c r="T42" s="17">
        <f t="shared" ref="T42" si="34">S42*1.09</f>
        <v>5978.8836262873547</v>
      </c>
      <c r="U42" s="17">
        <f t="shared" ref="U42" si="35">T42*1.09</f>
        <v>6516.9831526532171</v>
      </c>
      <c r="V42" s="17">
        <f t="shared" ref="V42" si="36">U42*1.09</f>
        <v>7103.5116363920069</v>
      </c>
      <c r="W42" s="17">
        <f t="shared" ref="W42" si="37">V42*1.09</f>
        <v>7742.8276836672885</v>
      </c>
      <c r="X42" s="17">
        <f t="shared" ref="X42" si="38">W42*1.09</f>
        <v>8439.6821751973457</v>
      </c>
      <c r="Y42" s="17">
        <f t="shared" ref="Y42" si="39">X42*1.09</f>
        <v>9199.2535709651074</v>
      </c>
      <c r="Z42" s="17">
        <f t="shared" ref="Z42" si="40">Y42*1.09</f>
        <v>10027.186392351969</v>
      </c>
      <c r="AA42" s="17">
        <f t="shared" ref="AA42" si="41">Z42*1.09</f>
        <v>10929.633167663647</v>
      </c>
      <c r="AB42" s="17">
        <f t="shared" ref="AB42" si="42">AA42*1.09</f>
        <v>11913.300152753376</v>
      </c>
      <c r="AC42" s="17">
        <f t="shared" ref="AC42" si="43">AB42*1.09</f>
        <v>12985.497166501182</v>
      </c>
      <c r="AD42" s="17">
        <f t="shared" ref="AD42" si="44">AC42*1.09</f>
        <v>14154.191911486289</v>
      </c>
      <c r="AE42" s="17">
        <f t="shared" ref="AE42" si="45">AD42*1.09</f>
        <v>15428.069183520056</v>
      </c>
      <c r="AF42" s="17">
        <f t="shared" ref="AF42" si="46">AE42*1.09</f>
        <v>16816.595410036862</v>
      </c>
      <c r="AG42" s="17">
        <f t="shared" ref="AG42" si="47">AF42*1.09</f>
        <v>18330.08899694018</v>
      </c>
      <c r="AH42" s="17">
        <f t="shared" ref="AH42" si="48">AG42*1.09</f>
        <v>19979.797006664798</v>
      </c>
      <c r="AI42" s="17">
        <f t="shared" ref="AI42" si="49">AH42*1.09</f>
        <v>21777.978737264631</v>
      </c>
    </row>
    <row r="44" spans="1:35" x14ac:dyDescent="0.25">
      <c r="A44" s="2" t="s">
        <v>170</v>
      </c>
      <c r="B44" s="36" t="s">
        <v>277</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25">
      <c r="A45" t="s">
        <v>168</v>
      </c>
      <c r="B45" t="s">
        <v>78</v>
      </c>
    </row>
    <row r="46" spans="1:35" x14ac:dyDescent="0.25">
      <c r="A46" t="s">
        <v>169</v>
      </c>
      <c r="B46" t="s">
        <v>80</v>
      </c>
    </row>
    <row r="47" spans="1:35" x14ac:dyDescent="0.25">
      <c r="A47" t="s">
        <v>256</v>
      </c>
      <c r="B47" t="s">
        <v>257</v>
      </c>
    </row>
    <row r="48" spans="1:35" x14ac:dyDescent="0.25">
      <c r="A48" t="s">
        <v>259</v>
      </c>
      <c r="B48" t="s">
        <v>260</v>
      </c>
    </row>
  </sheetData>
  <mergeCells count="5">
    <mergeCell ref="B2:B3"/>
    <mergeCell ref="D2:D3"/>
    <mergeCell ref="A1:A3"/>
    <mergeCell ref="C2:C3"/>
    <mergeCell ref="E1:AI1"/>
  </mergeCells>
  <phoneticPr fontId="6" type="noConversion"/>
  <pageMargins left="0.7" right="0.7" top="0.75" bottom="0.75" header="0.3" footer="0.3"/>
  <pageSetup paperSize="9" orientation="portrait" r:id="rId1"/>
  <ignoredErrors>
    <ignoredError sqref="M19:AI19"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94C9-AF8A-4F45-A37A-D29755EDE464}">
  <sheetPr codeName="Sheet5">
    <tabColor theme="8" tint="0.79998168889431442"/>
  </sheetPr>
  <dimension ref="A1:AI41"/>
  <sheetViews>
    <sheetView topLeftCell="A10" workbookViewId="0">
      <selection activeCell="B26" sqref="B26"/>
    </sheetView>
  </sheetViews>
  <sheetFormatPr defaultRowHeight="15" x14ac:dyDescent="0.25"/>
  <cols>
    <col min="2" max="2" width="88.7109375" customWidth="1"/>
    <col min="3" max="3" width="11.5703125" customWidth="1"/>
    <col min="4" max="4" width="14.5703125" customWidth="1"/>
    <col min="5" max="5" width="13.140625" customWidth="1"/>
    <col min="6" max="6" width="11.42578125" customWidth="1"/>
  </cols>
  <sheetData>
    <row r="1" spans="1:35" x14ac:dyDescent="0.25">
      <c r="A1" s="42" t="s">
        <v>117</v>
      </c>
      <c r="B1" s="15" t="s">
        <v>99</v>
      </c>
      <c r="C1" s="15" t="s">
        <v>118</v>
      </c>
      <c r="D1" s="15"/>
      <c r="E1" s="40" t="s">
        <v>5</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c r="AE2" s="15">
        <v>2048</v>
      </c>
      <c r="AF2" s="15">
        <v>2049</v>
      </c>
      <c r="AG2" s="15">
        <v>2050</v>
      </c>
      <c r="AH2" s="15">
        <v>2051</v>
      </c>
      <c r="AI2" s="15">
        <v>2052</v>
      </c>
    </row>
    <row r="3" spans="1:35"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c r="AE3" s="15">
        <v>26</v>
      </c>
      <c r="AF3" s="15">
        <v>27</v>
      </c>
      <c r="AG3" s="15">
        <v>28</v>
      </c>
      <c r="AH3" s="15">
        <v>29</v>
      </c>
      <c r="AI3" s="15">
        <v>30</v>
      </c>
    </row>
    <row r="4" spans="1:35" x14ac:dyDescent="0.25">
      <c r="A4" t="s">
        <v>230</v>
      </c>
      <c r="B4" t="s">
        <v>330</v>
      </c>
      <c r="C4" t="s">
        <v>120</v>
      </c>
      <c r="D4" s="18">
        <f>E4+NPV(0.05,F4:L4)</f>
        <v>23255307.683429752</v>
      </c>
      <c r="E4" s="18">
        <f>27414121/8</f>
        <v>3426765.125</v>
      </c>
      <c r="F4" s="18">
        <f t="shared" ref="F4:L5" si="0">27414121/8</f>
        <v>3426765.125</v>
      </c>
      <c r="G4" s="18">
        <f t="shared" si="0"/>
        <v>3426765.125</v>
      </c>
      <c r="H4" s="18">
        <f t="shared" si="0"/>
        <v>3426765.125</v>
      </c>
      <c r="I4" s="18">
        <f t="shared" si="0"/>
        <v>3426765.125</v>
      </c>
      <c r="J4" s="18">
        <f t="shared" si="0"/>
        <v>3426765.125</v>
      </c>
      <c r="K4" s="18">
        <f t="shared" si="0"/>
        <v>3426765.125</v>
      </c>
      <c r="L4" s="18">
        <f t="shared" si="0"/>
        <v>3426765.125</v>
      </c>
      <c r="M4" s="22"/>
      <c r="N4" s="22"/>
      <c r="O4" s="22"/>
      <c r="P4" s="22"/>
      <c r="Q4" s="22"/>
      <c r="R4" s="22"/>
      <c r="S4" s="22"/>
      <c r="T4" s="22"/>
      <c r="U4" s="22"/>
      <c r="V4" s="22"/>
      <c r="W4" s="22"/>
      <c r="X4" s="22"/>
      <c r="Y4" s="22"/>
      <c r="Z4" s="22"/>
      <c r="AA4" s="22"/>
      <c r="AB4" s="22"/>
      <c r="AC4" s="22"/>
      <c r="AD4" s="22"/>
      <c r="AE4" s="22"/>
      <c r="AF4" s="22"/>
      <c r="AG4" s="22"/>
      <c r="AH4" s="22"/>
      <c r="AI4" s="22"/>
    </row>
    <row r="5" spans="1:35" x14ac:dyDescent="0.25">
      <c r="A5" t="s">
        <v>204</v>
      </c>
      <c r="B5" t="s">
        <v>314</v>
      </c>
      <c r="C5" t="s">
        <v>120</v>
      </c>
      <c r="D5" s="18">
        <f>E5+NPV(0.05,F5:L5)</f>
        <v>21909629.709332809</v>
      </c>
      <c r="E5" s="18">
        <f>27414121/8</f>
        <v>3426765.125</v>
      </c>
      <c r="F5" s="18">
        <f t="shared" si="0"/>
        <v>3426765.125</v>
      </c>
      <c r="G5" s="18">
        <f t="shared" si="0"/>
        <v>3426765.125</v>
      </c>
      <c r="H5" s="18">
        <f>27414121/8*0.9</f>
        <v>3084088.6125000003</v>
      </c>
      <c r="I5" s="18">
        <f t="shared" ref="I5:L5" si="1">27414121/8*0.9</f>
        <v>3084088.6125000003</v>
      </c>
      <c r="J5" s="18">
        <f t="shared" si="1"/>
        <v>3084088.6125000003</v>
      </c>
      <c r="K5" s="18">
        <f t="shared" si="1"/>
        <v>3084088.6125000003</v>
      </c>
      <c r="L5" s="18">
        <f t="shared" si="1"/>
        <v>3084088.6125000003</v>
      </c>
      <c r="M5" s="22"/>
      <c r="N5" s="22"/>
      <c r="O5" s="22"/>
      <c r="P5" s="22"/>
      <c r="Q5" s="22"/>
      <c r="R5" s="22"/>
      <c r="S5" s="22"/>
      <c r="T5" s="22"/>
      <c r="U5" s="22"/>
      <c r="V5" s="22"/>
      <c r="W5" s="22"/>
      <c r="X5" s="22"/>
      <c r="Y5" s="22"/>
      <c r="Z5" s="22"/>
      <c r="AA5" s="22"/>
      <c r="AB5" s="22"/>
      <c r="AC5" s="22"/>
      <c r="AD5" s="22"/>
      <c r="AE5" s="22"/>
      <c r="AF5" s="22"/>
      <c r="AG5" s="22"/>
      <c r="AH5" s="22"/>
      <c r="AI5" s="22"/>
    </row>
    <row r="6" spans="1:35" x14ac:dyDescent="0.25">
      <c r="A6" t="s">
        <v>250</v>
      </c>
      <c r="B6" t="s">
        <v>320</v>
      </c>
      <c r="C6" t="s">
        <v>120</v>
      </c>
      <c r="D6" s="18"/>
      <c r="E6" s="18"/>
      <c r="F6" s="18"/>
      <c r="G6" s="18"/>
      <c r="H6" s="18"/>
      <c r="I6" s="18"/>
      <c r="J6" s="18"/>
      <c r="K6" s="18"/>
      <c r="L6" s="18"/>
      <c r="M6" s="22"/>
      <c r="N6" s="22"/>
      <c r="O6" s="22"/>
      <c r="P6" s="22"/>
      <c r="Q6" s="22"/>
      <c r="R6" s="22"/>
      <c r="S6" s="22"/>
      <c r="T6" s="22"/>
      <c r="U6" s="22"/>
      <c r="V6" s="22"/>
      <c r="W6" s="22"/>
      <c r="X6" s="22"/>
      <c r="Y6" s="22"/>
      <c r="Z6" s="22"/>
      <c r="AA6" s="22"/>
      <c r="AB6" s="22"/>
      <c r="AC6" s="22"/>
      <c r="AD6" s="22"/>
      <c r="AE6" s="22"/>
      <c r="AF6" s="22"/>
      <c r="AG6" s="22"/>
      <c r="AH6" s="22"/>
      <c r="AI6" s="22"/>
    </row>
    <row r="7" spans="1:35" x14ac:dyDescent="0.25">
      <c r="A7" t="s">
        <v>161</v>
      </c>
      <c r="B7" t="s">
        <v>310</v>
      </c>
      <c r="C7" t="s">
        <v>120</v>
      </c>
      <c r="D7" s="18">
        <f>SUM(D16:D17)</f>
        <v>26439952.057314459</v>
      </c>
      <c r="E7" s="18"/>
      <c r="F7" s="18">
        <f t="shared" ref="F7:AI7" si="2">SUM(F16:F17)</f>
        <v>290084.98678571428</v>
      </c>
      <c r="G7" s="18">
        <f t="shared" si="2"/>
        <v>453801.28892857139</v>
      </c>
      <c r="H7" s="18">
        <f t="shared" si="2"/>
        <v>740779.57614285708</v>
      </c>
      <c r="I7" s="18">
        <f t="shared" si="2"/>
        <v>1052325.3512142857</v>
      </c>
      <c r="J7" s="18">
        <f t="shared" si="2"/>
        <v>1385531.7679285712</v>
      </c>
      <c r="K7" s="18">
        <f t="shared" si="2"/>
        <v>1741565.9844285715</v>
      </c>
      <c r="L7" s="18">
        <f t="shared" si="2"/>
        <v>2121645.9710714282</v>
      </c>
      <c r="M7" s="18">
        <f t="shared" si="2"/>
        <v>2291341.33</v>
      </c>
      <c r="N7" s="18">
        <f t="shared" si="2"/>
        <v>2566711.7727142856</v>
      </c>
      <c r="O7" s="18">
        <f t="shared" si="2"/>
        <v>2958844.682928571</v>
      </c>
      <c r="P7" s="18">
        <f t="shared" si="2"/>
        <v>3286027.2133928565</v>
      </c>
      <c r="Q7" s="18">
        <f t="shared" si="2"/>
        <v>3740340.6285714284</v>
      </c>
      <c r="R7" s="18">
        <f t="shared" si="2"/>
        <v>3503475.8237142852</v>
      </c>
      <c r="S7" s="18">
        <f t="shared" si="2"/>
        <v>3244123.7799999993</v>
      </c>
      <c r="T7" s="18">
        <f t="shared" si="2"/>
        <v>2960952.7725714282</v>
      </c>
      <c r="U7" s="18">
        <f t="shared" si="2"/>
        <v>2652556.7322857138</v>
      </c>
      <c r="V7" s="18">
        <f t="shared" si="2"/>
        <v>2317464.1314285714</v>
      </c>
      <c r="W7" s="18">
        <f t="shared" si="2"/>
        <v>2268426.1222857144</v>
      </c>
      <c r="X7" s="18">
        <f t="shared" si="2"/>
        <v>2074789.9368571427</v>
      </c>
      <c r="Y7" s="18">
        <f t="shared" si="2"/>
        <v>1720902.7642857144</v>
      </c>
      <c r="Z7" s="18">
        <f t="shared" si="2"/>
        <v>1189977.3528571427</v>
      </c>
      <c r="AA7" s="18">
        <f t="shared" si="2"/>
        <v>464009.22857142857</v>
      </c>
      <c r="AB7" s="18">
        <f t="shared" si="2"/>
        <v>479539.32142857136</v>
      </c>
      <c r="AC7" s="18">
        <f t="shared" si="2"/>
        <v>495599.23571428563</v>
      </c>
      <c r="AD7" s="18">
        <f t="shared" si="2"/>
        <v>512203.59285714279</v>
      </c>
      <c r="AE7" s="18">
        <f t="shared" si="2"/>
        <v>529374.24285714282</v>
      </c>
      <c r="AF7" s="18">
        <f t="shared" si="2"/>
        <v>547130.24285714282</v>
      </c>
      <c r="AG7" s="18">
        <f t="shared" si="2"/>
        <v>565491.47142857139</v>
      </c>
      <c r="AH7" s="18">
        <f t="shared" si="2"/>
        <v>584481.42142857134</v>
      </c>
      <c r="AI7" s="18">
        <f t="shared" si="2"/>
        <v>604117.67142857134</v>
      </c>
    </row>
    <row r="8" spans="1:35" x14ac:dyDescent="0.25">
      <c r="A8" t="s">
        <v>162</v>
      </c>
      <c r="B8" t="s">
        <v>311</v>
      </c>
      <c r="C8" t="s">
        <v>120</v>
      </c>
      <c r="D8" s="18">
        <f>NPV(0.05,F8:AI8)</f>
        <v>23795956.851583011</v>
      </c>
      <c r="E8" s="18"/>
      <c r="F8" s="18">
        <f t="shared" ref="F8:AI8" si="3">0.9*F7</f>
        <v>261076.48810714285</v>
      </c>
      <c r="G8" s="18">
        <f t="shared" si="3"/>
        <v>408421.16003571427</v>
      </c>
      <c r="H8" s="18">
        <f t="shared" si="3"/>
        <v>666701.61852857145</v>
      </c>
      <c r="I8" s="18">
        <f t="shared" si="3"/>
        <v>947092.81609285716</v>
      </c>
      <c r="J8" s="18">
        <f t="shared" si="3"/>
        <v>1246978.5911357142</v>
      </c>
      <c r="K8" s="18">
        <f t="shared" si="3"/>
        <v>1567409.3859857144</v>
      </c>
      <c r="L8" s="18">
        <f t="shared" si="3"/>
        <v>1909481.3739642855</v>
      </c>
      <c r="M8" s="18">
        <f t="shared" si="3"/>
        <v>2062207.1970000002</v>
      </c>
      <c r="N8" s="18">
        <f t="shared" si="3"/>
        <v>2310040.5954428571</v>
      </c>
      <c r="O8" s="18">
        <f t="shared" si="3"/>
        <v>2662960.214635714</v>
      </c>
      <c r="P8" s="18">
        <f t="shared" si="3"/>
        <v>2957424.4920535712</v>
      </c>
      <c r="Q8" s="18">
        <f t="shared" si="3"/>
        <v>3366306.5657142857</v>
      </c>
      <c r="R8" s="18">
        <f t="shared" si="3"/>
        <v>3153128.2413428565</v>
      </c>
      <c r="S8" s="18">
        <f t="shared" si="3"/>
        <v>2919711.4019999993</v>
      </c>
      <c r="T8" s="18">
        <f t="shared" si="3"/>
        <v>2664857.4953142856</v>
      </c>
      <c r="U8" s="18">
        <f t="shared" si="3"/>
        <v>2387301.0590571426</v>
      </c>
      <c r="V8" s="18">
        <f t="shared" si="3"/>
        <v>2085717.7182857143</v>
      </c>
      <c r="W8" s="18">
        <f t="shared" si="3"/>
        <v>2041583.5100571429</v>
      </c>
      <c r="X8" s="18">
        <f t="shared" si="3"/>
        <v>1867310.9431714285</v>
      </c>
      <c r="Y8" s="18">
        <f t="shared" si="3"/>
        <v>1548812.4878571429</v>
      </c>
      <c r="Z8" s="18">
        <f t="shared" si="3"/>
        <v>1070979.6175714284</v>
      </c>
      <c r="AA8" s="18">
        <f t="shared" si="3"/>
        <v>417608.3057142857</v>
      </c>
      <c r="AB8" s="18">
        <f t="shared" si="3"/>
        <v>431585.38928571425</v>
      </c>
      <c r="AC8" s="18">
        <f t="shared" si="3"/>
        <v>446039.31214285706</v>
      </c>
      <c r="AD8" s="18">
        <f t="shared" si="3"/>
        <v>460983.23357142851</v>
      </c>
      <c r="AE8" s="18">
        <f t="shared" si="3"/>
        <v>476436.81857142854</v>
      </c>
      <c r="AF8" s="18">
        <f t="shared" si="3"/>
        <v>492417.21857142856</v>
      </c>
      <c r="AG8" s="18">
        <f t="shared" si="3"/>
        <v>508942.32428571425</v>
      </c>
      <c r="AH8" s="18">
        <f t="shared" si="3"/>
        <v>526033.27928571426</v>
      </c>
      <c r="AI8" s="18">
        <f t="shared" si="3"/>
        <v>543705.90428571426</v>
      </c>
    </row>
    <row r="9" spans="1:35" x14ac:dyDescent="0.25">
      <c r="A9" t="s">
        <v>164</v>
      </c>
      <c r="B9" t="s">
        <v>312</v>
      </c>
      <c r="C9" t="s">
        <v>120</v>
      </c>
      <c r="D9" s="18">
        <f>NPV(0.05,F9:AI9)</f>
        <v>25426097.186143171</v>
      </c>
      <c r="E9" s="18"/>
      <c r="F9" s="18">
        <f>F21*0.8+F24+F26+F30*0.8</f>
        <v>259484.60392857139</v>
      </c>
      <c r="G9" s="18">
        <f t="shared" ref="G9:AI9" si="4">G21*0.8+G24+G26+G30*0.8</f>
        <v>419466.72464285709</v>
      </c>
      <c r="H9" s="18">
        <f t="shared" si="4"/>
        <v>702640.84471428569</v>
      </c>
      <c r="I9" s="18">
        <f t="shared" si="4"/>
        <v>1009861.1740714285</v>
      </c>
      <c r="J9" s="18">
        <f t="shared" si="4"/>
        <v>1338528.5736428571</v>
      </c>
      <c r="K9" s="18">
        <f t="shared" si="4"/>
        <v>1689801.330142857</v>
      </c>
      <c r="L9" s="18">
        <f t="shared" si="4"/>
        <v>2064889.4953571428</v>
      </c>
      <c r="M9" s="18">
        <f t="shared" si="4"/>
        <v>2232700.7600000002</v>
      </c>
      <c r="N9" s="18">
        <f t="shared" si="4"/>
        <v>2506123.8255714285</v>
      </c>
      <c r="O9" s="18">
        <f t="shared" si="4"/>
        <v>2896243.1186428568</v>
      </c>
      <c r="P9" s="18">
        <f t="shared" si="4"/>
        <v>3221343.9519642857</v>
      </c>
      <c r="Q9" s="18">
        <f t="shared" si="4"/>
        <v>3673505.7828571429</v>
      </c>
      <c r="R9" s="18">
        <f t="shared" si="4"/>
        <v>3434416.2865714286</v>
      </c>
      <c r="S9" s="18">
        <f t="shared" si="4"/>
        <v>3172764.44</v>
      </c>
      <c r="T9" s="18">
        <f t="shared" si="4"/>
        <v>2887215.1668571429</v>
      </c>
      <c r="U9" s="18">
        <f t="shared" si="4"/>
        <v>2576360.9194285716</v>
      </c>
      <c r="V9" s="18">
        <f t="shared" si="4"/>
        <v>2238726.6871428574</v>
      </c>
      <c r="W9" s="18">
        <f t="shared" si="4"/>
        <v>2187060.5994285713</v>
      </c>
      <c r="X9" s="18">
        <f t="shared" si="4"/>
        <v>1990706.8982857142</v>
      </c>
      <c r="Y9" s="18">
        <f t="shared" si="4"/>
        <v>1634010.3414285716</v>
      </c>
      <c r="Z9" s="18">
        <f t="shared" si="4"/>
        <v>1100179.7342857141</v>
      </c>
      <c r="AA9" s="18">
        <f t="shared" si="4"/>
        <v>371207.38285714283</v>
      </c>
      <c r="AB9" s="18">
        <f t="shared" si="4"/>
        <v>383631.45714285714</v>
      </c>
      <c r="AC9" s="18">
        <f t="shared" si="4"/>
        <v>396479.38857142848</v>
      </c>
      <c r="AD9" s="18">
        <f t="shared" si="4"/>
        <v>409762.87428571424</v>
      </c>
      <c r="AE9" s="18">
        <f t="shared" si="4"/>
        <v>423499.39428571425</v>
      </c>
      <c r="AF9" s="18">
        <f t="shared" si="4"/>
        <v>437704.1942857143</v>
      </c>
      <c r="AG9" s="18">
        <f t="shared" si="4"/>
        <v>452393.17714285711</v>
      </c>
      <c r="AH9" s="18">
        <f t="shared" si="4"/>
        <v>467585.13714285713</v>
      </c>
      <c r="AI9" s="18">
        <f t="shared" si="4"/>
        <v>483294.13714285713</v>
      </c>
    </row>
    <row r="11" spans="1:35" ht="15.75" customHeight="1" x14ac:dyDescent="0.25">
      <c r="A11" t="s">
        <v>121</v>
      </c>
      <c r="B11" t="s">
        <v>178</v>
      </c>
      <c r="C11" t="s">
        <v>120</v>
      </c>
      <c r="D11" s="20">
        <f>D7-D4</f>
        <v>3184644.3738847077</v>
      </c>
    </row>
    <row r="12" spans="1:35" ht="15.75" customHeight="1" x14ac:dyDescent="0.25">
      <c r="A12" t="s">
        <v>244</v>
      </c>
      <c r="B12" t="s">
        <v>247</v>
      </c>
      <c r="C12" t="s">
        <v>126</v>
      </c>
      <c r="D12" s="24">
        <f>D7/D4</f>
        <v>1.1369426892663252</v>
      </c>
      <c r="E12" s="11"/>
    </row>
    <row r="13" spans="1:35" ht="15.75" customHeight="1" x14ac:dyDescent="0.25">
      <c r="A13" t="s">
        <v>245</v>
      </c>
      <c r="B13" t="s">
        <v>248</v>
      </c>
      <c r="C13" t="s">
        <v>126</v>
      </c>
      <c r="D13" s="24">
        <f>D8/D5</f>
        <v>1.0860958020411768</v>
      </c>
      <c r="E13" s="11"/>
    </row>
    <row r="14" spans="1:35" ht="15.75" customHeight="1" x14ac:dyDescent="0.25">
      <c r="A14" t="s">
        <v>246</v>
      </c>
      <c r="B14" t="s">
        <v>249</v>
      </c>
      <c r="C14" t="s">
        <v>126</v>
      </c>
      <c r="D14" s="24">
        <f>D9/D4</f>
        <v>1.0933459807225077</v>
      </c>
      <c r="E14" s="11"/>
    </row>
    <row r="16" spans="1:35" x14ac:dyDescent="0.25">
      <c r="A16" t="s">
        <v>122</v>
      </c>
      <c r="B16" t="s">
        <v>124</v>
      </c>
      <c r="C16" t="s">
        <v>120</v>
      </c>
      <c r="D16" s="18">
        <f>SUM(E16:L16)</f>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18">
        <v>0</v>
      </c>
      <c r="AI16" s="18">
        <v>0</v>
      </c>
    </row>
    <row r="17" spans="1:35" x14ac:dyDescent="0.25">
      <c r="A17" t="s">
        <v>123</v>
      </c>
      <c r="B17" t="s">
        <v>125</v>
      </c>
      <c r="C17" t="s">
        <v>120</v>
      </c>
      <c r="D17" s="18">
        <f t="shared" ref="D17:E17" si="5">SUM(D19,D28)</f>
        <v>26439952.057314459</v>
      </c>
      <c r="E17" s="18">
        <f t="shared" si="5"/>
        <v>0</v>
      </c>
      <c r="F17" s="18">
        <f>SUM(F19,F28)</f>
        <v>290084.98678571428</v>
      </c>
      <c r="G17" s="18">
        <f t="shared" ref="G17:Z17" si="6">SUM(G19,G28)</f>
        <v>453801.28892857139</v>
      </c>
      <c r="H17" s="18">
        <f t="shared" si="6"/>
        <v>740779.57614285708</v>
      </c>
      <c r="I17" s="18">
        <f t="shared" si="6"/>
        <v>1052325.3512142857</v>
      </c>
      <c r="J17" s="18">
        <f t="shared" si="6"/>
        <v>1385531.7679285712</v>
      </c>
      <c r="K17" s="18">
        <f t="shared" si="6"/>
        <v>1741565.9844285715</v>
      </c>
      <c r="L17" s="18">
        <f t="shared" si="6"/>
        <v>2121645.9710714282</v>
      </c>
      <c r="M17" s="18">
        <f t="shared" si="6"/>
        <v>2291341.33</v>
      </c>
      <c r="N17" s="18">
        <f t="shared" si="6"/>
        <v>2566711.7727142856</v>
      </c>
      <c r="O17" s="18">
        <f t="shared" si="6"/>
        <v>2958844.682928571</v>
      </c>
      <c r="P17" s="18">
        <f t="shared" si="6"/>
        <v>3286027.2133928565</v>
      </c>
      <c r="Q17" s="18">
        <f t="shared" si="6"/>
        <v>3740340.6285714284</v>
      </c>
      <c r="R17" s="18">
        <f t="shared" si="6"/>
        <v>3503475.8237142852</v>
      </c>
      <c r="S17" s="18">
        <f t="shared" si="6"/>
        <v>3244123.7799999993</v>
      </c>
      <c r="T17" s="18">
        <f t="shared" si="6"/>
        <v>2960952.7725714282</v>
      </c>
      <c r="U17" s="18">
        <f t="shared" si="6"/>
        <v>2652556.7322857138</v>
      </c>
      <c r="V17" s="18">
        <f t="shared" si="6"/>
        <v>2317464.1314285714</v>
      </c>
      <c r="W17" s="18">
        <f t="shared" si="6"/>
        <v>2268426.1222857144</v>
      </c>
      <c r="X17" s="18">
        <f t="shared" si="6"/>
        <v>2074789.9368571427</v>
      </c>
      <c r="Y17" s="18">
        <f t="shared" si="6"/>
        <v>1720902.7642857144</v>
      </c>
      <c r="Z17" s="18">
        <f t="shared" si="6"/>
        <v>1189977.3528571427</v>
      </c>
      <c r="AA17" s="18">
        <f t="shared" ref="AA17:AI17" si="7">SUM(AA19,AA28)</f>
        <v>464009.22857142857</v>
      </c>
      <c r="AB17" s="18">
        <f t="shared" si="7"/>
        <v>479539.32142857136</v>
      </c>
      <c r="AC17" s="18">
        <f t="shared" si="7"/>
        <v>495599.23571428563</v>
      </c>
      <c r="AD17" s="18">
        <f t="shared" si="7"/>
        <v>512203.59285714279</v>
      </c>
      <c r="AE17" s="18">
        <f t="shared" si="7"/>
        <v>529374.24285714282</v>
      </c>
      <c r="AF17" s="18">
        <f t="shared" si="7"/>
        <v>547130.24285714282</v>
      </c>
      <c r="AG17" s="18">
        <f t="shared" si="7"/>
        <v>565491.47142857139</v>
      </c>
      <c r="AH17" s="18">
        <f t="shared" si="7"/>
        <v>584481.42142857134</v>
      </c>
      <c r="AI17" s="18">
        <f t="shared" si="7"/>
        <v>604117.67142857134</v>
      </c>
    </row>
    <row r="19" spans="1:35" x14ac:dyDescent="0.25">
      <c r="A19" s="2" t="s">
        <v>127</v>
      </c>
      <c r="B19" s="2" t="s">
        <v>242</v>
      </c>
      <c r="C19" s="2"/>
      <c r="D19" s="23">
        <f>SUM(D21,D24,D26)</f>
        <v>24643568.697659381</v>
      </c>
      <c r="E19" s="23">
        <f t="shared" ref="E19:AI19" si="8">SUM(E21,E24,E26)</f>
        <v>0</v>
      </c>
      <c r="F19" s="23">
        <f t="shared" si="8"/>
        <v>275973.99392857141</v>
      </c>
      <c r="G19" s="23">
        <f t="shared" si="8"/>
        <v>425052.93178571423</v>
      </c>
      <c r="H19" s="23">
        <f t="shared" si="8"/>
        <v>696988.72614285711</v>
      </c>
      <c r="I19" s="23">
        <f t="shared" si="8"/>
        <v>992313.09407142852</v>
      </c>
      <c r="J19" s="23">
        <f t="shared" si="8"/>
        <v>1308429.1964999998</v>
      </c>
      <c r="K19" s="23">
        <f t="shared" si="8"/>
        <v>1646467.2272857144</v>
      </c>
      <c r="L19" s="23">
        <f t="shared" si="8"/>
        <v>2007613.1210714283</v>
      </c>
      <c r="M19" s="23">
        <f t="shared" si="8"/>
        <v>2174134.48</v>
      </c>
      <c r="N19" s="23">
        <f t="shared" si="8"/>
        <v>2446244.6727142856</v>
      </c>
      <c r="O19" s="23">
        <f t="shared" si="8"/>
        <v>2835024.182928571</v>
      </c>
      <c r="P19" s="23">
        <f t="shared" si="8"/>
        <v>3158760.1633928567</v>
      </c>
      <c r="Q19" s="23">
        <f t="shared" si="8"/>
        <v>3609533.8785714284</v>
      </c>
      <c r="R19" s="23">
        <f t="shared" si="8"/>
        <v>3369029.3237142852</v>
      </c>
      <c r="S19" s="23">
        <f t="shared" si="8"/>
        <v>3105937.4799999995</v>
      </c>
      <c r="T19" s="23">
        <f t="shared" si="8"/>
        <v>2818919.7225714284</v>
      </c>
      <c r="U19" s="23">
        <f t="shared" si="8"/>
        <v>2506573.432285714</v>
      </c>
      <c r="V19" s="23">
        <f t="shared" si="8"/>
        <v>2167420.1814285712</v>
      </c>
      <c r="W19" s="23">
        <f t="shared" si="8"/>
        <v>2114207.6722857142</v>
      </c>
      <c r="X19" s="23">
        <f t="shared" si="8"/>
        <v>1916279.6868571427</v>
      </c>
      <c r="Y19" s="23">
        <f t="shared" si="8"/>
        <v>1557983.4142857143</v>
      </c>
      <c r="Z19" s="23">
        <f t="shared" si="8"/>
        <v>1022524.7028571428</v>
      </c>
      <c r="AA19" s="23">
        <f t="shared" si="8"/>
        <v>291895.62857142859</v>
      </c>
      <c r="AB19" s="23">
        <f t="shared" si="8"/>
        <v>302637.12142857141</v>
      </c>
      <c r="AC19" s="23">
        <f t="shared" si="8"/>
        <v>313773.88571428566</v>
      </c>
      <c r="AD19" s="23">
        <f t="shared" si="8"/>
        <v>325320.54285714281</v>
      </c>
      <c r="AE19" s="23">
        <f t="shared" si="8"/>
        <v>337292.04285714281</v>
      </c>
      <c r="AF19" s="23">
        <f t="shared" si="8"/>
        <v>349703.99285714288</v>
      </c>
      <c r="AG19" s="23">
        <f t="shared" si="8"/>
        <v>362572.82142857142</v>
      </c>
      <c r="AH19" s="23">
        <f t="shared" si="8"/>
        <v>375915.12142857141</v>
      </c>
      <c r="AI19" s="23">
        <f t="shared" si="8"/>
        <v>389748.47142857139</v>
      </c>
    </row>
    <row r="20" spans="1:35" x14ac:dyDescent="0.25">
      <c r="A20" t="s">
        <v>129</v>
      </c>
      <c r="B20" t="s">
        <v>0</v>
      </c>
      <c r="C20" t="s">
        <v>144</v>
      </c>
      <c r="D20" s="19">
        <v>115</v>
      </c>
      <c r="E20" s="19"/>
      <c r="F20" s="17">
        <f t="shared" ref="F20:L20" si="9">$D$20/$L$3</f>
        <v>16.428571428571427</v>
      </c>
      <c r="G20" s="17">
        <f t="shared" si="9"/>
        <v>16.428571428571427</v>
      </c>
      <c r="H20" s="17">
        <f t="shared" si="9"/>
        <v>16.428571428571427</v>
      </c>
      <c r="I20" s="17">
        <f t="shared" si="9"/>
        <v>16.428571428571427</v>
      </c>
      <c r="J20" s="17">
        <f t="shared" si="9"/>
        <v>16.428571428571427</v>
      </c>
      <c r="K20" s="17">
        <f t="shared" si="9"/>
        <v>16.428571428571427</v>
      </c>
      <c r="L20" s="17">
        <f t="shared" si="9"/>
        <v>16.428571428571427</v>
      </c>
      <c r="M20" s="17">
        <f>L20</f>
        <v>16.428571428571427</v>
      </c>
      <c r="N20" s="17">
        <f t="shared" ref="N20:AI20" si="10">M20</f>
        <v>16.428571428571427</v>
      </c>
      <c r="O20" s="17">
        <f t="shared" si="10"/>
        <v>16.428571428571427</v>
      </c>
      <c r="P20" s="17">
        <f t="shared" si="10"/>
        <v>16.428571428571427</v>
      </c>
      <c r="Q20" s="17">
        <f t="shared" si="10"/>
        <v>16.428571428571427</v>
      </c>
      <c r="R20" s="17">
        <f t="shared" si="10"/>
        <v>16.428571428571427</v>
      </c>
      <c r="S20" s="17">
        <f t="shared" si="10"/>
        <v>16.428571428571427</v>
      </c>
      <c r="T20" s="17">
        <f t="shared" si="10"/>
        <v>16.428571428571427</v>
      </c>
      <c r="U20" s="17">
        <f t="shared" si="10"/>
        <v>16.428571428571427</v>
      </c>
      <c r="V20" s="17">
        <f t="shared" si="10"/>
        <v>16.428571428571427</v>
      </c>
      <c r="W20" s="17">
        <f t="shared" si="10"/>
        <v>16.428571428571427</v>
      </c>
      <c r="X20" s="17">
        <f t="shared" si="10"/>
        <v>16.428571428571427</v>
      </c>
      <c r="Y20" s="17">
        <f t="shared" si="10"/>
        <v>16.428571428571427</v>
      </c>
      <c r="Z20" s="17">
        <f t="shared" si="10"/>
        <v>16.428571428571427</v>
      </c>
      <c r="AA20" s="17">
        <f t="shared" si="10"/>
        <v>16.428571428571427</v>
      </c>
      <c r="AB20" s="17">
        <f t="shared" si="10"/>
        <v>16.428571428571427</v>
      </c>
      <c r="AC20" s="17">
        <f t="shared" si="10"/>
        <v>16.428571428571427</v>
      </c>
      <c r="AD20" s="17">
        <f t="shared" si="10"/>
        <v>16.428571428571427</v>
      </c>
      <c r="AE20" s="17">
        <f t="shared" si="10"/>
        <v>16.428571428571427</v>
      </c>
      <c r="AF20" s="17">
        <f t="shared" si="10"/>
        <v>16.428571428571427</v>
      </c>
      <c r="AG20" s="17">
        <f t="shared" si="10"/>
        <v>16.428571428571427</v>
      </c>
      <c r="AH20" s="17">
        <f t="shared" si="10"/>
        <v>16.428571428571427</v>
      </c>
      <c r="AI20" s="17">
        <f t="shared" si="10"/>
        <v>16.428571428571427</v>
      </c>
    </row>
    <row r="21" spans="1:35" x14ac:dyDescent="0.25">
      <c r="A21" t="s">
        <v>130</v>
      </c>
      <c r="B21" t="s">
        <v>289</v>
      </c>
      <c r="C21" t="s">
        <v>120</v>
      </c>
      <c r="D21" s="18">
        <f>NPV(0.05,F21:AI21)</f>
        <v>3272890.9962013946</v>
      </c>
      <c r="E21" s="18">
        <f>E20*E33</f>
        <v>0</v>
      </c>
      <c r="F21" s="18">
        <f t="shared" ref="F21:AI21" si="11">F20*F33</f>
        <v>138890.9214285714</v>
      </c>
      <c r="G21" s="18">
        <f t="shared" si="11"/>
        <v>142924.46428571426</v>
      </c>
      <c r="H21" s="18">
        <f t="shared" si="11"/>
        <v>146902.80714285711</v>
      </c>
      <c r="I21" s="18">
        <f t="shared" si="11"/>
        <v>152308.62857142853</v>
      </c>
      <c r="J21" s="18">
        <f t="shared" si="11"/>
        <v>157913.4</v>
      </c>
      <c r="K21" s="18">
        <f t="shared" si="11"/>
        <v>163724.51428571428</v>
      </c>
      <c r="L21" s="18">
        <f t="shared" si="11"/>
        <v>169749.52857142856</v>
      </c>
      <c r="M21" s="18">
        <f t="shared" si="11"/>
        <v>175995.99999999997</v>
      </c>
      <c r="N21" s="18">
        <f t="shared" si="11"/>
        <v>182472.63571428572</v>
      </c>
      <c r="O21" s="18">
        <f t="shared" si="11"/>
        <v>189187.32142857142</v>
      </c>
      <c r="P21" s="18">
        <f t="shared" si="11"/>
        <v>196149.25714285712</v>
      </c>
      <c r="Q21" s="18">
        <f t="shared" si="11"/>
        <v>203367.47857142854</v>
      </c>
      <c r="R21" s="18">
        <f t="shared" si="11"/>
        <v>210851.1857142857</v>
      </c>
      <c r="S21" s="18">
        <f t="shared" si="11"/>
        <v>218610.39999999997</v>
      </c>
      <c r="T21" s="18">
        <f t="shared" si="11"/>
        <v>226654.97857142854</v>
      </c>
      <c r="U21" s="18">
        <f t="shared" si="11"/>
        <v>234995.76428571428</v>
      </c>
      <c r="V21" s="18">
        <f t="shared" si="11"/>
        <v>243643.2714285714</v>
      </c>
      <c r="W21" s="18">
        <f t="shared" si="11"/>
        <v>252609.16428571424</v>
      </c>
      <c r="X21" s="18">
        <f t="shared" si="11"/>
        <v>261904.94285714286</v>
      </c>
      <c r="Y21" s="18">
        <f t="shared" si="11"/>
        <v>271542.76428571425</v>
      </c>
      <c r="Z21" s="18">
        <f t="shared" si="11"/>
        <v>281535.44285714283</v>
      </c>
      <c r="AA21" s="18">
        <f t="shared" si="11"/>
        <v>291895.62857142859</v>
      </c>
      <c r="AB21" s="18">
        <f t="shared" si="11"/>
        <v>302637.12142857141</v>
      </c>
      <c r="AC21" s="18">
        <f t="shared" si="11"/>
        <v>313773.88571428566</v>
      </c>
      <c r="AD21" s="18">
        <f t="shared" si="11"/>
        <v>325320.54285714281</v>
      </c>
      <c r="AE21" s="18">
        <f t="shared" si="11"/>
        <v>337292.04285714281</v>
      </c>
      <c r="AF21" s="18">
        <f t="shared" si="11"/>
        <v>349703.99285714288</v>
      </c>
      <c r="AG21" s="18">
        <f t="shared" si="11"/>
        <v>362572.82142857142</v>
      </c>
      <c r="AH21" s="18">
        <f t="shared" si="11"/>
        <v>375915.12142857141</v>
      </c>
      <c r="AI21" s="18">
        <f t="shared" si="11"/>
        <v>389748.47142857139</v>
      </c>
    </row>
    <row r="22" spans="1:35" s="7" customFormat="1" x14ac:dyDescent="0.25">
      <c r="A22" s="7" t="s">
        <v>131</v>
      </c>
      <c r="B22" s="7" t="s">
        <v>73</v>
      </c>
      <c r="C22" s="7" t="s">
        <v>144</v>
      </c>
      <c r="D22" s="19">
        <v>33</v>
      </c>
      <c r="E22" s="17">
        <v>0</v>
      </c>
      <c r="F22" s="17">
        <v>0</v>
      </c>
      <c r="G22" s="17">
        <v>0</v>
      </c>
      <c r="H22" s="17">
        <f>L22/5</f>
        <v>6.6</v>
      </c>
      <c r="I22" s="17">
        <f>H22+$H$22</f>
        <v>13.2</v>
      </c>
      <c r="J22" s="17">
        <f>I22+$H$22</f>
        <v>19.799999999999997</v>
      </c>
      <c r="K22" s="17">
        <f>J22+$H$22</f>
        <v>26.4</v>
      </c>
      <c r="L22" s="17">
        <v>33</v>
      </c>
      <c r="M22" s="17"/>
      <c r="N22" s="17"/>
      <c r="O22" s="17"/>
      <c r="P22" s="17"/>
      <c r="Q22" s="17"/>
      <c r="R22" s="17"/>
      <c r="S22" s="17"/>
      <c r="T22" s="17"/>
      <c r="U22" s="17"/>
      <c r="V22" s="19"/>
      <c r="W22" s="19"/>
      <c r="X22" s="19"/>
      <c r="Y22" s="19"/>
      <c r="Z22" s="19"/>
      <c r="AA22" s="19"/>
      <c r="AB22" s="19"/>
      <c r="AC22" s="19"/>
      <c r="AD22" s="19"/>
      <c r="AE22" s="19"/>
      <c r="AF22" s="19"/>
      <c r="AG22" s="19"/>
      <c r="AH22" s="19"/>
      <c r="AI22" s="19"/>
    </row>
    <row r="23" spans="1:35" s="7" customFormat="1" x14ac:dyDescent="0.25">
      <c r="A23" s="7" t="s">
        <v>132</v>
      </c>
      <c r="B23" s="7" t="s">
        <v>177</v>
      </c>
      <c r="C23" s="7" t="s">
        <v>144</v>
      </c>
      <c r="D23" s="17">
        <v>99</v>
      </c>
      <c r="E23" s="17"/>
      <c r="F23" s="17"/>
      <c r="G23" s="17"/>
      <c r="H23" s="17"/>
      <c r="I23" s="17"/>
      <c r="J23" s="17"/>
      <c r="K23" s="17"/>
      <c r="L23" s="17"/>
      <c r="M23" s="17">
        <f>H22</f>
        <v>6.6</v>
      </c>
      <c r="N23" s="17">
        <f>M23+I22</f>
        <v>19.799999999999997</v>
      </c>
      <c r="O23" s="17">
        <f t="shared" ref="O23:R23" si="12">N23+J22</f>
        <v>39.599999999999994</v>
      </c>
      <c r="P23" s="17">
        <f t="shared" si="12"/>
        <v>66</v>
      </c>
      <c r="Q23" s="17">
        <f t="shared" si="12"/>
        <v>99</v>
      </c>
      <c r="R23" s="17">
        <f t="shared" si="12"/>
        <v>99</v>
      </c>
      <c r="S23" s="17">
        <f t="shared" ref="S23" si="13">R23+N22</f>
        <v>99</v>
      </c>
      <c r="T23" s="17">
        <f t="shared" ref="T23" si="14">S23+O22</f>
        <v>99</v>
      </c>
      <c r="U23" s="17">
        <f t="shared" ref="U23" si="15">T23+P22</f>
        <v>99</v>
      </c>
      <c r="V23" s="17">
        <f t="shared" ref="V23" si="16">U23+Q22</f>
        <v>99</v>
      </c>
      <c r="W23" s="17">
        <f>$R$23-M23</f>
        <v>92.4</v>
      </c>
      <c r="X23" s="17">
        <f t="shared" ref="X23:Z23" si="17">$R$23-N23</f>
        <v>79.2</v>
      </c>
      <c r="Y23" s="17">
        <f t="shared" si="17"/>
        <v>59.400000000000006</v>
      </c>
      <c r="Z23" s="17">
        <f t="shared" si="17"/>
        <v>33</v>
      </c>
      <c r="AA23" s="17">
        <v>0</v>
      </c>
      <c r="AB23" s="17">
        <v>0</v>
      </c>
      <c r="AC23" s="17">
        <v>0</v>
      </c>
      <c r="AD23" s="17">
        <v>0</v>
      </c>
      <c r="AE23" s="17">
        <v>0</v>
      </c>
      <c r="AF23" s="17">
        <v>0</v>
      </c>
      <c r="AG23" s="17">
        <v>0</v>
      </c>
      <c r="AH23" s="17">
        <v>0</v>
      </c>
      <c r="AI23" s="17">
        <v>0</v>
      </c>
    </row>
    <row r="24" spans="1:35" x14ac:dyDescent="0.25">
      <c r="A24" s="7" t="s">
        <v>176</v>
      </c>
      <c r="B24" s="7" t="s">
        <v>234</v>
      </c>
      <c r="C24" s="7" t="s">
        <v>120</v>
      </c>
      <c r="D24" s="18">
        <f>NPV(0.05,F24:AI24)</f>
        <v>8597084.3235307708</v>
      </c>
      <c r="E24" s="18">
        <f>E23*E34</f>
        <v>0</v>
      </c>
      <c r="F24" s="18">
        <f t="shared" ref="F24:AI24" si="18">F23*F34</f>
        <v>0</v>
      </c>
      <c r="G24" s="18">
        <f t="shared" si="18"/>
        <v>0</v>
      </c>
      <c r="H24" s="18">
        <f t="shared" si="18"/>
        <v>0</v>
      </c>
      <c r="I24" s="18">
        <f t="shared" si="18"/>
        <v>0</v>
      </c>
      <c r="J24" s="18">
        <f t="shared" si="18"/>
        <v>0</v>
      </c>
      <c r="K24" s="18">
        <f t="shared" si="18"/>
        <v>0</v>
      </c>
      <c r="L24" s="18">
        <f t="shared" si="18"/>
        <v>0</v>
      </c>
      <c r="M24" s="18">
        <f t="shared" si="18"/>
        <v>92642.87999999999</v>
      </c>
      <c r="N24" s="18">
        <f t="shared" si="18"/>
        <v>288156.13199999998</v>
      </c>
      <c r="O24" s="18">
        <f t="shared" si="18"/>
        <v>597520.04399999988</v>
      </c>
      <c r="P24" s="18">
        <f t="shared" si="18"/>
        <v>1032513.9</v>
      </c>
      <c r="Q24" s="18">
        <f t="shared" si="18"/>
        <v>1605764.16</v>
      </c>
      <c r="R24" s="18">
        <f t="shared" si="18"/>
        <v>1664854.2899999998</v>
      </c>
      <c r="S24" s="18">
        <f t="shared" si="18"/>
        <v>1726119.45</v>
      </c>
      <c r="T24" s="18">
        <f t="shared" si="18"/>
        <v>1789638.84</v>
      </c>
      <c r="U24" s="18">
        <f t="shared" si="18"/>
        <v>1855496.6099999999</v>
      </c>
      <c r="V24" s="18">
        <f t="shared" si="18"/>
        <v>1923776.91</v>
      </c>
      <c r="W24" s="18">
        <f t="shared" si="18"/>
        <v>1861598.5079999999</v>
      </c>
      <c r="X24" s="18">
        <f t="shared" si="18"/>
        <v>1654374.7439999999</v>
      </c>
      <c r="Y24" s="18">
        <f t="shared" si="18"/>
        <v>1286440.6500000001</v>
      </c>
      <c r="Z24" s="18">
        <f t="shared" si="18"/>
        <v>740989.26</v>
      </c>
      <c r="AA24" s="18">
        <f t="shared" si="18"/>
        <v>0</v>
      </c>
      <c r="AB24" s="18">
        <f t="shared" si="18"/>
        <v>0</v>
      </c>
      <c r="AC24" s="18">
        <f t="shared" si="18"/>
        <v>0</v>
      </c>
      <c r="AD24" s="18">
        <f t="shared" si="18"/>
        <v>0</v>
      </c>
      <c r="AE24" s="18">
        <f t="shared" si="18"/>
        <v>0</v>
      </c>
      <c r="AF24" s="18">
        <f t="shared" si="18"/>
        <v>0</v>
      </c>
      <c r="AG24" s="18">
        <f t="shared" si="18"/>
        <v>0</v>
      </c>
      <c r="AH24" s="18">
        <f t="shared" si="18"/>
        <v>0</v>
      </c>
      <c r="AI24" s="18">
        <f t="shared" si="18"/>
        <v>0</v>
      </c>
    </row>
    <row r="25" spans="1:35" ht="15" customHeight="1" x14ac:dyDescent="0.25">
      <c r="A25" t="s">
        <v>133</v>
      </c>
      <c r="B25" t="s">
        <v>353</v>
      </c>
      <c r="C25" t="s">
        <v>144</v>
      </c>
      <c r="D25" s="19">
        <v>905</v>
      </c>
      <c r="E25" s="17"/>
      <c r="F25" s="17">
        <f>G25/2</f>
        <v>82.5</v>
      </c>
      <c r="G25" s="17">
        <v>165</v>
      </c>
      <c r="H25" s="17">
        <f>G25+($L$25-$G$25)/5</f>
        <v>313</v>
      </c>
      <c r="I25" s="17">
        <f>H25+($L$25-$G$25)/5</f>
        <v>461</v>
      </c>
      <c r="J25" s="17">
        <f>I25+($L$25-$G$25)/5</f>
        <v>609</v>
      </c>
      <c r="K25" s="17">
        <f>J25+($L$25-$G$25)/5</f>
        <v>757</v>
      </c>
      <c r="L25" s="17">
        <v>905</v>
      </c>
      <c r="M25" s="17">
        <v>905</v>
      </c>
      <c r="N25" s="17">
        <v>905</v>
      </c>
      <c r="O25" s="17">
        <v>905</v>
      </c>
      <c r="P25" s="17">
        <f t="shared" ref="P25:U25" si="19">$O$25-F25</f>
        <v>822.5</v>
      </c>
      <c r="Q25" s="17">
        <f t="shared" si="19"/>
        <v>740</v>
      </c>
      <c r="R25" s="17">
        <f t="shared" si="19"/>
        <v>592</v>
      </c>
      <c r="S25" s="17">
        <f t="shared" si="19"/>
        <v>444</v>
      </c>
      <c r="T25" s="17">
        <f t="shared" si="19"/>
        <v>296</v>
      </c>
      <c r="U25" s="17">
        <f t="shared" si="19"/>
        <v>148</v>
      </c>
      <c r="V25" s="19">
        <v>0</v>
      </c>
      <c r="W25" s="19">
        <v>0</v>
      </c>
      <c r="X25" s="19">
        <v>0</v>
      </c>
      <c r="Y25" s="19">
        <v>0</v>
      </c>
      <c r="Z25" s="19">
        <v>0</v>
      </c>
      <c r="AA25" s="19">
        <v>0</v>
      </c>
      <c r="AB25" s="19">
        <v>0</v>
      </c>
      <c r="AC25" s="19">
        <v>0</v>
      </c>
      <c r="AD25" s="19">
        <v>0</v>
      </c>
      <c r="AE25" s="19">
        <v>0</v>
      </c>
      <c r="AF25" s="19">
        <v>0</v>
      </c>
      <c r="AG25" s="19">
        <v>0</v>
      </c>
      <c r="AH25" s="19">
        <v>0</v>
      </c>
      <c r="AI25" s="19">
        <v>0</v>
      </c>
    </row>
    <row r="26" spans="1:35" x14ac:dyDescent="0.25">
      <c r="A26" t="s">
        <v>134</v>
      </c>
      <c r="B26" t="s">
        <v>235</v>
      </c>
      <c r="C26" t="s">
        <v>120</v>
      </c>
      <c r="D26" s="18">
        <f>NPV(0.05,F26:AI26)</f>
        <v>12773593.377927214</v>
      </c>
      <c r="E26" s="18">
        <f>E25*E35</f>
        <v>0</v>
      </c>
      <c r="F26" s="18">
        <f t="shared" ref="F26:AI26" si="20">F25*F35</f>
        <v>137083.07250000001</v>
      </c>
      <c r="G26" s="18">
        <f t="shared" si="20"/>
        <v>282128.46749999997</v>
      </c>
      <c r="H26" s="18">
        <f t="shared" si="20"/>
        <v>550085.91899999999</v>
      </c>
      <c r="I26" s="18">
        <f t="shared" si="20"/>
        <v>840004.46549999993</v>
      </c>
      <c r="J26" s="18">
        <f t="shared" si="20"/>
        <v>1150515.7964999999</v>
      </c>
      <c r="K26" s="18">
        <f t="shared" si="20"/>
        <v>1482742.713</v>
      </c>
      <c r="L26" s="18">
        <f t="shared" si="20"/>
        <v>1837863.5924999998</v>
      </c>
      <c r="M26" s="18">
        <f t="shared" si="20"/>
        <v>1905495.6</v>
      </c>
      <c r="N26" s="18">
        <f t="shared" si="20"/>
        <v>1975615.9049999998</v>
      </c>
      <c r="O26" s="18">
        <f t="shared" si="20"/>
        <v>2048316.8174999997</v>
      </c>
      <c r="P26" s="18">
        <f t="shared" si="20"/>
        <v>1930097.0062499999</v>
      </c>
      <c r="Q26" s="18">
        <f t="shared" si="20"/>
        <v>1800402.24</v>
      </c>
      <c r="R26" s="18">
        <f t="shared" si="20"/>
        <v>1493323.848</v>
      </c>
      <c r="S26" s="18">
        <f t="shared" si="20"/>
        <v>1161207.6299999999</v>
      </c>
      <c r="T26" s="18">
        <f t="shared" si="20"/>
        <v>802625.90399999998</v>
      </c>
      <c r="U26" s="18">
        <f t="shared" si="20"/>
        <v>416081.05799999996</v>
      </c>
      <c r="V26" s="18">
        <f t="shared" si="20"/>
        <v>0</v>
      </c>
      <c r="W26" s="18">
        <f t="shared" si="20"/>
        <v>0</v>
      </c>
      <c r="X26" s="18">
        <f t="shared" si="20"/>
        <v>0</v>
      </c>
      <c r="Y26" s="18">
        <f t="shared" si="20"/>
        <v>0</v>
      </c>
      <c r="Z26" s="18">
        <f t="shared" si="20"/>
        <v>0</v>
      </c>
      <c r="AA26" s="18">
        <f t="shared" si="20"/>
        <v>0</v>
      </c>
      <c r="AB26" s="18">
        <f t="shared" si="20"/>
        <v>0</v>
      </c>
      <c r="AC26" s="18">
        <f t="shared" si="20"/>
        <v>0</v>
      </c>
      <c r="AD26" s="18">
        <f t="shared" si="20"/>
        <v>0</v>
      </c>
      <c r="AE26" s="18">
        <f t="shared" si="20"/>
        <v>0</v>
      </c>
      <c r="AF26" s="18">
        <f t="shared" si="20"/>
        <v>0</v>
      </c>
      <c r="AG26" s="18">
        <f t="shared" si="20"/>
        <v>0</v>
      </c>
      <c r="AH26" s="18">
        <f t="shared" si="20"/>
        <v>0</v>
      </c>
      <c r="AI26" s="18">
        <f t="shared" si="20"/>
        <v>0</v>
      </c>
    </row>
    <row r="27" spans="1:35" x14ac:dyDescent="0.25">
      <c r="E27" s="3"/>
      <c r="F27" s="3"/>
      <c r="G27" s="3"/>
      <c r="H27" s="3"/>
      <c r="I27" s="3"/>
      <c r="J27" s="3"/>
      <c r="K27" s="3"/>
      <c r="L27" s="3"/>
      <c r="M27" s="3"/>
      <c r="N27" s="3"/>
      <c r="O27" s="3"/>
      <c r="P27" s="3"/>
      <c r="Q27" s="3"/>
      <c r="R27" s="3"/>
      <c r="S27" s="3"/>
      <c r="T27" s="3"/>
      <c r="U27" s="3"/>
    </row>
    <row r="28" spans="1:35" x14ac:dyDescent="0.25">
      <c r="A28" s="2" t="s">
        <v>135</v>
      </c>
      <c r="B28" s="2" t="s">
        <v>128</v>
      </c>
      <c r="C28" s="2"/>
      <c r="D28" s="23">
        <f>D30</f>
        <v>1796383.3596550771</v>
      </c>
      <c r="E28" s="23">
        <f t="shared" ref="E28:Z28" si="21">E30</f>
        <v>0</v>
      </c>
      <c r="F28" s="23">
        <f t="shared" si="21"/>
        <v>14110.992857142855</v>
      </c>
      <c r="G28" s="23">
        <f t="shared" si="21"/>
        <v>28748.357142857138</v>
      </c>
      <c r="H28" s="23">
        <f t="shared" si="21"/>
        <v>43790.85</v>
      </c>
      <c r="I28" s="23">
        <f t="shared" si="21"/>
        <v>60012.257142857139</v>
      </c>
      <c r="J28" s="23">
        <f t="shared" si="21"/>
        <v>77102.57142857142</v>
      </c>
      <c r="K28" s="23">
        <f t="shared" si="21"/>
        <v>95098.757142857125</v>
      </c>
      <c r="L28" s="23">
        <f t="shared" si="21"/>
        <v>114032.84999999998</v>
      </c>
      <c r="M28" s="23">
        <f t="shared" si="21"/>
        <v>117206.84999999999</v>
      </c>
      <c r="N28" s="23">
        <f t="shared" si="21"/>
        <v>120467.09999999998</v>
      </c>
      <c r="O28" s="23">
        <f t="shared" si="21"/>
        <v>123820.49999999997</v>
      </c>
      <c r="P28" s="23">
        <f t="shared" si="21"/>
        <v>127267.04999999997</v>
      </c>
      <c r="Q28" s="23">
        <f t="shared" si="21"/>
        <v>130806.74999999997</v>
      </c>
      <c r="R28" s="23">
        <f t="shared" si="21"/>
        <v>134446.49999999997</v>
      </c>
      <c r="S28" s="23">
        <f t="shared" si="21"/>
        <v>138186.29999999999</v>
      </c>
      <c r="T28" s="23">
        <f t="shared" si="21"/>
        <v>142033.04999999999</v>
      </c>
      <c r="U28" s="23">
        <f t="shared" si="21"/>
        <v>145983.29999999996</v>
      </c>
      <c r="V28" s="23">
        <f t="shared" si="21"/>
        <v>150043.94999999998</v>
      </c>
      <c r="W28" s="23">
        <f t="shared" si="21"/>
        <v>154218.44999999998</v>
      </c>
      <c r="X28" s="23">
        <f t="shared" si="21"/>
        <v>158510.24999999997</v>
      </c>
      <c r="Y28" s="23">
        <f t="shared" si="21"/>
        <v>162919.34999999998</v>
      </c>
      <c r="Z28" s="23">
        <f t="shared" si="21"/>
        <v>167452.64999999997</v>
      </c>
      <c r="AA28" s="23">
        <f t="shared" ref="AA28:AI28" si="22">AA30</f>
        <v>172113.59999999998</v>
      </c>
      <c r="AB28" s="23">
        <f t="shared" si="22"/>
        <v>176902.19999999995</v>
      </c>
      <c r="AC28" s="23">
        <f t="shared" si="22"/>
        <v>181825.34999999995</v>
      </c>
      <c r="AD28" s="23">
        <f t="shared" si="22"/>
        <v>186883.05</v>
      </c>
      <c r="AE28" s="23">
        <f t="shared" si="22"/>
        <v>192082.19999999995</v>
      </c>
      <c r="AF28" s="23">
        <f t="shared" si="22"/>
        <v>197426.24999999997</v>
      </c>
      <c r="AG28" s="23">
        <f t="shared" si="22"/>
        <v>202918.64999999997</v>
      </c>
      <c r="AH28" s="23">
        <f t="shared" si="22"/>
        <v>208566.29999999996</v>
      </c>
      <c r="AI28" s="23">
        <f t="shared" si="22"/>
        <v>214369.19999999998</v>
      </c>
    </row>
    <row r="29" spans="1:35" x14ac:dyDescent="0.25">
      <c r="A29" t="s">
        <v>136</v>
      </c>
      <c r="B29" t="s">
        <v>54</v>
      </c>
      <c r="C29" t="s">
        <v>144</v>
      </c>
      <c r="D29" s="17">
        <f>SUM(F29:U29)</f>
        <v>4485</v>
      </c>
      <c r="E29" s="19"/>
      <c r="F29" s="17">
        <f>F20*3</f>
        <v>49.285714285714278</v>
      </c>
      <c r="G29" s="17">
        <f t="shared" ref="G29:L29" si="23">F29+$F$29</f>
        <v>98.571428571428555</v>
      </c>
      <c r="H29" s="17">
        <f t="shared" si="23"/>
        <v>147.85714285714283</v>
      </c>
      <c r="I29" s="17">
        <f t="shared" si="23"/>
        <v>197.14285714285711</v>
      </c>
      <c r="J29" s="17">
        <f t="shared" si="23"/>
        <v>246.42857142857139</v>
      </c>
      <c r="K29" s="17">
        <f t="shared" si="23"/>
        <v>295.71428571428567</v>
      </c>
      <c r="L29" s="17">
        <f t="shared" si="23"/>
        <v>344.99999999999994</v>
      </c>
      <c r="M29" s="17">
        <v>344.99999999999994</v>
      </c>
      <c r="N29" s="17">
        <v>344.99999999999994</v>
      </c>
      <c r="O29" s="17">
        <v>344.99999999999994</v>
      </c>
      <c r="P29" s="17">
        <f>O29</f>
        <v>344.99999999999994</v>
      </c>
      <c r="Q29" s="17">
        <f t="shared" ref="Q29:AI29" si="24">P29</f>
        <v>344.99999999999994</v>
      </c>
      <c r="R29" s="17">
        <f t="shared" si="24"/>
        <v>344.99999999999994</v>
      </c>
      <c r="S29" s="17">
        <f t="shared" si="24"/>
        <v>344.99999999999994</v>
      </c>
      <c r="T29" s="17">
        <f t="shared" si="24"/>
        <v>344.99999999999994</v>
      </c>
      <c r="U29" s="17">
        <f t="shared" si="24"/>
        <v>344.99999999999994</v>
      </c>
      <c r="V29" s="17">
        <f t="shared" si="24"/>
        <v>344.99999999999994</v>
      </c>
      <c r="W29" s="17">
        <f t="shared" si="24"/>
        <v>344.99999999999994</v>
      </c>
      <c r="X29" s="17">
        <f t="shared" si="24"/>
        <v>344.99999999999994</v>
      </c>
      <c r="Y29" s="17">
        <f t="shared" si="24"/>
        <v>344.99999999999994</v>
      </c>
      <c r="Z29" s="17">
        <f t="shared" si="24"/>
        <v>344.99999999999994</v>
      </c>
      <c r="AA29" s="17">
        <f t="shared" si="24"/>
        <v>344.99999999999994</v>
      </c>
      <c r="AB29" s="17">
        <f t="shared" si="24"/>
        <v>344.99999999999994</v>
      </c>
      <c r="AC29" s="17">
        <f t="shared" si="24"/>
        <v>344.99999999999994</v>
      </c>
      <c r="AD29" s="17">
        <f t="shared" si="24"/>
        <v>344.99999999999994</v>
      </c>
      <c r="AE29" s="17">
        <f t="shared" si="24"/>
        <v>344.99999999999994</v>
      </c>
      <c r="AF29" s="17">
        <f t="shared" si="24"/>
        <v>344.99999999999994</v>
      </c>
      <c r="AG29" s="17">
        <f t="shared" si="24"/>
        <v>344.99999999999994</v>
      </c>
      <c r="AH29" s="17">
        <f t="shared" si="24"/>
        <v>344.99999999999994</v>
      </c>
      <c r="AI29" s="17">
        <f t="shared" si="24"/>
        <v>344.99999999999994</v>
      </c>
    </row>
    <row r="30" spans="1:35" x14ac:dyDescent="0.25">
      <c r="A30" t="s">
        <v>140</v>
      </c>
      <c r="B30" t="s">
        <v>199</v>
      </c>
      <c r="C30" t="s">
        <v>120</v>
      </c>
      <c r="D30" s="18">
        <f>NPV(0.05,F30:AI30)</f>
        <v>1796383.3596550771</v>
      </c>
      <c r="E30" s="18"/>
      <c r="F30" s="18">
        <f>F29*F36</f>
        <v>14110.992857142855</v>
      </c>
      <c r="G30" s="18">
        <f t="shared" ref="G30:Z30" si="25">G29*G36</f>
        <v>28748.357142857138</v>
      </c>
      <c r="H30" s="18">
        <f t="shared" si="25"/>
        <v>43790.85</v>
      </c>
      <c r="I30" s="18">
        <f t="shared" si="25"/>
        <v>60012.257142857139</v>
      </c>
      <c r="J30" s="18">
        <f t="shared" si="25"/>
        <v>77102.57142857142</v>
      </c>
      <c r="K30" s="18">
        <f t="shared" si="25"/>
        <v>95098.757142857125</v>
      </c>
      <c r="L30" s="18">
        <f t="shared" si="25"/>
        <v>114032.84999999998</v>
      </c>
      <c r="M30" s="18">
        <f t="shared" si="25"/>
        <v>117206.84999999999</v>
      </c>
      <c r="N30" s="18">
        <f t="shared" si="25"/>
        <v>120467.09999999998</v>
      </c>
      <c r="O30" s="18">
        <f t="shared" si="25"/>
        <v>123820.49999999997</v>
      </c>
      <c r="P30" s="18">
        <f t="shared" si="25"/>
        <v>127267.04999999997</v>
      </c>
      <c r="Q30" s="18">
        <f t="shared" si="25"/>
        <v>130806.74999999997</v>
      </c>
      <c r="R30" s="18">
        <f t="shared" si="25"/>
        <v>134446.49999999997</v>
      </c>
      <c r="S30" s="18">
        <f t="shared" si="25"/>
        <v>138186.29999999999</v>
      </c>
      <c r="T30" s="18">
        <f t="shared" si="25"/>
        <v>142033.04999999999</v>
      </c>
      <c r="U30" s="18">
        <f t="shared" si="25"/>
        <v>145983.29999999996</v>
      </c>
      <c r="V30" s="18">
        <f t="shared" si="25"/>
        <v>150043.94999999998</v>
      </c>
      <c r="W30" s="18">
        <f t="shared" si="25"/>
        <v>154218.44999999998</v>
      </c>
      <c r="X30" s="18">
        <f t="shared" si="25"/>
        <v>158510.24999999997</v>
      </c>
      <c r="Y30" s="18">
        <f t="shared" si="25"/>
        <v>162919.34999999998</v>
      </c>
      <c r="Z30" s="18">
        <f t="shared" si="25"/>
        <v>167452.64999999997</v>
      </c>
      <c r="AA30" s="18">
        <f t="shared" ref="AA30:AI30" si="26">AA29*AA36</f>
        <v>172113.59999999998</v>
      </c>
      <c r="AB30" s="18">
        <f t="shared" si="26"/>
        <v>176902.19999999995</v>
      </c>
      <c r="AC30" s="18">
        <f t="shared" si="26"/>
        <v>181825.34999999995</v>
      </c>
      <c r="AD30" s="18">
        <f t="shared" si="26"/>
        <v>186883.05</v>
      </c>
      <c r="AE30" s="18">
        <f t="shared" si="26"/>
        <v>192082.19999999995</v>
      </c>
      <c r="AF30" s="18">
        <f t="shared" si="26"/>
        <v>197426.24999999997</v>
      </c>
      <c r="AG30" s="18">
        <f t="shared" si="26"/>
        <v>202918.64999999997</v>
      </c>
      <c r="AH30" s="18">
        <f t="shared" si="26"/>
        <v>208566.29999999996</v>
      </c>
      <c r="AI30" s="18">
        <f t="shared" si="26"/>
        <v>214369.19999999998</v>
      </c>
    </row>
    <row r="32" spans="1:35" x14ac:dyDescent="0.25">
      <c r="A32" s="2" t="s">
        <v>147</v>
      </c>
      <c r="B32" s="2" t="s">
        <v>6</v>
      </c>
      <c r="C32" s="14"/>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25">
      <c r="A33" t="s">
        <v>148</v>
      </c>
      <c r="B33" t="s">
        <v>7</v>
      </c>
      <c r="C33" t="s">
        <v>120</v>
      </c>
      <c r="D33" s="19"/>
      <c r="E33" s="17">
        <v>8147.13</v>
      </c>
      <c r="F33" s="17">
        <v>8454.23</v>
      </c>
      <c r="G33" s="17">
        <v>8699.75</v>
      </c>
      <c r="H33" s="17">
        <v>8941.91</v>
      </c>
      <c r="I33" s="17">
        <v>9270.9599999999991</v>
      </c>
      <c r="J33" s="17">
        <v>9612.1200000000008</v>
      </c>
      <c r="K33" s="17">
        <v>9965.84</v>
      </c>
      <c r="L33" s="17">
        <v>10332.58</v>
      </c>
      <c r="M33" s="17">
        <v>10712.8</v>
      </c>
      <c r="N33" s="17">
        <v>11107.03</v>
      </c>
      <c r="O33" s="17">
        <v>11515.75</v>
      </c>
      <c r="P33" s="17">
        <v>11939.52</v>
      </c>
      <c r="Q33" s="17">
        <v>12378.89</v>
      </c>
      <c r="R33" s="17">
        <v>12834.42</v>
      </c>
      <c r="S33" s="17">
        <v>13306.72</v>
      </c>
      <c r="T33" s="17">
        <v>13796.39</v>
      </c>
      <c r="U33" s="17">
        <v>14304.09</v>
      </c>
      <c r="V33" s="17">
        <v>14830.46</v>
      </c>
      <c r="W33" s="17">
        <v>15376.21</v>
      </c>
      <c r="X33" s="17">
        <v>15942.04</v>
      </c>
      <c r="Y33" s="17">
        <v>16528.689999999999</v>
      </c>
      <c r="Z33" s="17">
        <v>17136.939999999999</v>
      </c>
      <c r="AA33" s="17">
        <v>17767.560000000001</v>
      </c>
      <c r="AB33" s="17">
        <v>18421.39</v>
      </c>
      <c r="AC33" s="17">
        <v>19099.28</v>
      </c>
      <c r="AD33" s="17">
        <v>19802.12</v>
      </c>
      <c r="AE33" s="17">
        <v>20530.82</v>
      </c>
      <c r="AF33" s="17">
        <v>21286.33</v>
      </c>
      <c r="AG33" s="17">
        <v>22069.65</v>
      </c>
      <c r="AH33" s="17">
        <v>22881.79</v>
      </c>
      <c r="AI33" s="17">
        <v>23723.82</v>
      </c>
    </row>
    <row r="34" spans="1:35" x14ac:dyDescent="0.25">
      <c r="A34" t="s">
        <v>149</v>
      </c>
      <c r="B34" t="s">
        <v>44</v>
      </c>
      <c r="C34" t="s">
        <v>120</v>
      </c>
      <c r="D34" s="19"/>
      <c r="E34" s="17">
        <v>10675.04</v>
      </c>
      <c r="F34" s="17">
        <v>11077.42</v>
      </c>
      <c r="G34" s="17">
        <v>11399.13</v>
      </c>
      <c r="H34" s="17">
        <v>11716.42</v>
      </c>
      <c r="I34" s="17">
        <v>12147.57</v>
      </c>
      <c r="J34" s="17">
        <v>12594.59</v>
      </c>
      <c r="K34" s="17">
        <v>13058.06</v>
      </c>
      <c r="L34" s="17">
        <v>13538.59</v>
      </c>
      <c r="M34" s="17">
        <v>14036.8</v>
      </c>
      <c r="N34" s="17">
        <v>14553.34</v>
      </c>
      <c r="O34" s="17">
        <v>15088.89</v>
      </c>
      <c r="P34" s="17">
        <v>15644.15</v>
      </c>
      <c r="Q34" s="17">
        <v>16219.84</v>
      </c>
      <c r="R34" s="17">
        <v>16816.71</v>
      </c>
      <c r="S34" s="17">
        <v>17435.55</v>
      </c>
      <c r="T34" s="17">
        <v>18077.16</v>
      </c>
      <c r="U34" s="17">
        <v>18742.39</v>
      </c>
      <c r="V34" s="17">
        <v>19432.09</v>
      </c>
      <c r="W34" s="17">
        <v>20147.169999999998</v>
      </c>
      <c r="X34" s="17">
        <v>20888.57</v>
      </c>
      <c r="Y34" s="17">
        <v>21657.25</v>
      </c>
      <c r="Z34" s="17">
        <v>22454.22</v>
      </c>
      <c r="AA34" s="17"/>
      <c r="AB34" s="17"/>
      <c r="AC34" s="17"/>
      <c r="AD34" s="17"/>
      <c r="AE34" s="17"/>
      <c r="AF34" s="17"/>
      <c r="AG34" s="17"/>
      <c r="AH34" s="17"/>
      <c r="AI34" s="17"/>
    </row>
    <row r="35" spans="1:35" x14ac:dyDescent="0.25">
      <c r="A35" t="s">
        <v>150</v>
      </c>
      <c r="B35" s="12" t="s">
        <v>45</v>
      </c>
      <c r="C35" t="s">
        <v>120</v>
      </c>
      <c r="D35" s="19"/>
      <c r="E35" s="17">
        <v>1601.2560000000001</v>
      </c>
      <c r="F35" s="17">
        <v>1661.6130000000001</v>
      </c>
      <c r="G35" s="17">
        <v>1709.8694999999998</v>
      </c>
      <c r="H35" s="17">
        <v>1757.463</v>
      </c>
      <c r="I35" s="17">
        <v>1822.1354999999999</v>
      </c>
      <c r="J35" s="17">
        <v>1889.1885</v>
      </c>
      <c r="K35" s="17">
        <v>1958.7089999999998</v>
      </c>
      <c r="L35" s="17">
        <v>2030.7884999999999</v>
      </c>
      <c r="M35" s="17">
        <v>2105.52</v>
      </c>
      <c r="N35" s="17">
        <v>2183.0009999999997</v>
      </c>
      <c r="O35" s="17">
        <v>2263.3334999999997</v>
      </c>
      <c r="P35" s="17">
        <v>2346.6224999999999</v>
      </c>
      <c r="Q35" s="17">
        <v>2432.9760000000001</v>
      </c>
      <c r="R35" s="17">
        <v>2522.5065</v>
      </c>
      <c r="S35" s="17">
        <v>2615.3325</v>
      </c>
      <c r="T35" s="17">
        <v>2711.5740000000001</v>
      </c>
      <c r="U35" s="17">
        <v>2811.3584999999998</v>
      </c>
      <c r="V35" s="19"/>
      <c r="W35" s="19"/>
      <c r="X35" s="19"/>
      <c r="Y35" s="19"/>
      <c r="Z35" s="19"/>
      <c r="AA35" s="19"/>
      <c r="AB35" s="19"/>
      <c r="AC35" s="19"/>
      <c r="AD35" s="19"/>
      <c r="AE35" s="19"/>
      <c r="AF35" s="19"/>
      <c r="AG35" s="19"/>
      <c r="AH35" s="19"/>
      <c r="AI35" s="19"/>
    </row>
    <row r="36" spans="1:35" x14ac:dyDescent="0.25">
      <c r="A36" t="s">
        <v>151</v>
      </c>
      <c r="B36" t="s">
        <v>46</v>
      </c>
      <c r="C36" t="s">
        <v>120</v>
      </c>
      <c r="D36" s="19"/>
      <c r="E36" s="17">
        <v>279.67</v>
      </c>
      <c r="F36" s="17">
        <v>286.31</v>
      </c>
      <c r="G36" s="17">
        <v>291.64999999999998</v>
      </c>
      <c r="H36" s="17">
        <v>296.17</v>
      </c>
      <c r="I36" s="17">
        <v>304.41000000000003</v>
      </c>
      <c r="J36" s="17">
        <v>312.88</v>
      </c>
      <c r="K36" s="17">
        <v>321.58999999999997</v>
      </c>
      <c r="L36" s="17">
        <v>330.53</v>
      </c>
      <c r="M36" s="17">
        <v>339.73</v>
      </c>
      <c r="N36" s="17">
        <v>349.18</v>
      </c>
      <c r="O36" s="17">
        <v>358.9</v>
      </c>
      <c r="P36" s="17">
        <v>368.89</v>
      </c>
      <c r="Q36" s="17">
        <v>379.15</v>
      </c>
      <c r="R36" s="17">
        <v>389.7</v>
      </c>
      <c r="S36" s="17">
        <v>400.54</v>
      </c>
      <c r="T36" s="17">
        <v>411.69</v>
      </c>
      <c r="U36" s="17">
        <v>423.14</v>
      </c>
      <c r="V36" s="17">
        <v>434.91</v>
      </c>
      <c r="W36" s="17">
        <v>447.01</v>
      </c>
      <c r="X36" s="17">
        <v>459.45</v>
      </c>
      <c r="Y36" s="17">
        <v>472.23</v>
      </c>
      <c r="Z36" s="17">
        <v>485.37</v>
      </c>
      <c r="AA36" s="17">
        <v>498.88</v>
      </c>
      <c r="AB36" s="17">
        <v>512.76</v>
      </c>
      <c r="AC36" s="17">
        <v>527.03</v>
      </c>
      <c r="AD36" s="17">
        <v>541.69000000000005</v>
      </c>
      <c r="AE36" s="17">
        <v>556.76</v>
      </c>
      <c r="AF36" s="17">
        <v>572.25</v>
      </c>
      <c r="AG36" s="17">
        <v>588.16999999999996</v>
      </c>
      <c r="AH36" s="17">
        <v>604.54</v>
      </c>
      <c r="AI36" s="17">
        <v>621.36</v>
      </c>
    </row>
    <row r="38" spans="1:35" x14ac:dyDescent="0.25">
      <c r="A38" s="2" t="s">
        <v>155</v>
      </c>
      <c r="B38" s="36" t="s">
        <v>277</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5">
      <c r="A39" t="s">
        <v>156</v>
      </c>
      <c r="B39" t="s">
        <v>266</v>
      </c>
    </row>
    <row r="40" spans="1:35" x14ac:dyDescent="0.25">
      <c r="A40" t="s">
        <v>157</v>
      </c>
      <c r="B40" t="s">
        <v>265</v>
      </c>
    </row>
    <row r="41" spans="1:35" x14ac:dyDescent="0.25">
      <c r="A41" t="s">
        <v>222</v>
      </c>
      <c r="B41" t="s">
        <v>274</v>
      </c>
    </row>
  </sheetData>
  <mergeCells count="5">
    <mergeCell ref="B2:B3"/>
    <mergeCell ref="D2:D3"/>
    <mergeCell ref="C2:C3"/>
    <mergeCell ref="A1:A3"/>
    <mergeCell ref="E1:AI1"/>
  </mergeCells>
  <phoneticPr fontId="6"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A452-E3C1-45D6-A207-2FB50D00617E}">
  <sheetPr codeName="Sheet6">
    <tabColor theme="8" tint="0.79998168889431442"/>
  </sheetPr>
  <dimension ref="A1:X31"/>
  <sheetViews>
    <sheetView workbookViewId="0">
      <selection activeCell="D4" sqref="D4"/>
    </sheetView>
  </sheetViews>
  <sheetFormatPr defaultRowHeight="15" x14ac:dyDescent="0.25"/>
  <cols>
    <col min="2" max="2" width="97.140625" customWidth="1"/>
    <col min="3" max="3" width="11.5703125" customWidth="1"/>
    <col min="4" max="5" width="12.85546875" customWidth="1"/>
    <col min="6" max="6" width="11.28515625" customWidth="1"/>
    <col min="7" max="7" width="9.85546875" bestFit="1" customWidth="1"/>
    <col min="8" max="8" width="12.5703125" customWidth="1"/>
    <col min="9" max="9" width="11.28515625" customWidth="1"/>
    <col min="10" max="10" width="11.42578125" customWidth="1"/>
    <col min="11" max="11" width="10.85546875" customWidth="1"/>
    <col min="12" max="12" width="10.42578125" customWidth="1"/>
    <col min="13" max="13" width="11" customWidth="1"/>
    <col min="14" max="14" width="9.5703125" customWidth="1"/>
    <col min="15" max="16" width="9.85546875" bestFit="1" customWidth="1"/>
    <col min="17" max="23" width="10.85546875" bestFit="1" customWidth="1"/>
    <col min="24" max="24" width="9.28515625" customWidth="1"/>
  </cols>
  <sheetData>
    <row r="1" spans="1:23" ht="17.25" customHeight="1" x14ac:dyDescent="0.25">
      <c r="A1" s="42" t="s">
        <v>117</v>
      </c>
      <c r="B1" s="15" t="s">
        <v>100</v>
      </c>
      <c r="C1" s="15" t="s">
        <v>118</v>
      </c>
      <c r="D1" s="15"/>
      <c r="E1" s="15"/>
      <c r="F1" s="42" t="s">
        <v>5</v>
      </c>
      <c r="G1" s="42"/>
      <c r="H1" s="42"/>
      <c r="I1" s="42"/>
      <c r="J1" s="42"/>
      <c r="K1" s="42"/>
      <c r="L1" s="42"/>
      <c r="M1" s="42"/>
      <c r="N1" s="42"/>
      <c r="O1" s="42"/>
      <c r="P1" s="42"/>
      <c r="Q1" s="42"/>
      <c r="R1" s="42"/>
      <c r="S1" s="42"/>
      <c r="T1" s="42"/>
      <c r="U1" s="42"/>
      <c r="V1" s="42"/>
      <c r="W1" s="42"/>
    </row>
    <row r="2" spans="1:23" x14ac:dyDescent="0.25">
      <c r="A2" s="42"/>
      <c r="B2" s="42" t="s">
        <v>3</v>
      </c>
      <c r="C2" s="49" t="s">
        <v>119</v>
      </c>
      <c r="D2" s="42" t="s">
        <v>4</v>
      </c>
      <c r="E2" s="16">
        <v>2021</v>
      </c>
      <c r="F2" s="15">
        <v>2022</v>
      </c>
      <c r="G2" s="15">
        <v>2023</v>
      </c>
      <c r="H2" s="15">
        <v>2024</v>
      </c>
      <c r="I2" s="15">
        <v>2025</v>
      </c>
      <c r="J2" s="15">
        <v>2026</v>
      </c>
      <c r="K2" s="15">
        <v>2027</v>
      </c>
      <c r="L2" s="15">
        <v>2028</v>
      </c>
      <c r="M2" s="15">
        <v>2029</v>
      </c>
      <c r="N2" s="15">
        <v>2030</v>
      </c>
      <c r="O2" s="15">
        <v>2031</v>
      </c>
      <c r="P2" s="15">
        <v>2032</v>
      </c>
      <c r="Q2" s="15">
        <v>2033</v>
      </c>
      <c r="R2" s="15">
        <v>2034</v>
      </c>
      <c r="S2" s="15">
        <v>2035</v>
      </c>
      <c r="T2" s="15">
        <v>2036</v>
      </c>
      <c r="U2" s="15">
        <v>2037</v>
      </c>
      <c r="V2" s="15">
        <v>2038</v>
      </c>
      <c r="W2" s="15">
        <v>2039</v>
      </c>
    </row>
    <row r="3" spans="1:23" x14ac:dyDescent="0.25">
      <c r="A3" s="42"/>
      <c r="B3" s="42"/>
      <c r="C3" s="49"/>
      <c r="D3" s="42"/>
      <c r="E3" s="16"/>
      <c r="F3" s="15">
        <v>0</v>
      </c>
      <c r="G3" s="15">
        <v>1</v>
      </c>
      <c r="H3" s="15">
        <v>2</v>
      </c>
      <c r="I3" s="15">
        <v>3</v>
      </c>
      <c r="J3" s="15">
        <v>4</v>
      </c>
      <c r="K3" s="15">
        <v>5</v>
      </c>
      <c r="L3" s="15">
        <v>6</v>
      </c>
      <c r="M3" s="15">
        <v>7</v>
      </c>
      <c r="N3" s="15">
        <v>8</v>
      </c>
      <c r="O3" s="15">
        <v>9</v>
      </c>
      <c r="P3" s="15">
        <v>10</v>
      </c>
      <c r="Q3" s="15">
        <v>11</v>
      </c>
      <c r="R3" s="15">
        <v>12</v>
      </c>
      <c r="S3" s="15">
        <v>13</v>
      </c>
      <c r="T3" s="15">
        <v>14</v>
      </c>
      <c r="U3" s="15">
        <v>15</v>
      </c>
      <c r="V3" s="15">
        <v>16</v>
      </c>
      <c r="W3" s="15">
        <v>17</v>
      </c>
    </row>
    <row r="4" spans="1:23" x14ac:dyDescent="0.25">
      <c r="A4" t="s">
        <v>115</v>
      </c>
      <c r="B4" t="s">
        <v>313</v>
      </c>
      <c r="C4" t="s">
        <v>120</v>
      </c>
      <c r="D4" s="18">
        <f>E4+NPV(0.05,F4:L4)</f>
        <v>7498414.2857142854</v>
      </c>
      <c r="E4" s="18"/>
      <c r="F4" s="18">
        <v>7873335</v>
      </c>
      <c r="G4" s="18"/>
      <c r="H4" s="18"/>
      <c r="I4" s="18"/>
      <c r="J4" s="18"/>
      <c r="K4" s="18"/>
      <c r="L4" s="18"/>
      <c r="M4" s="18"/>
      <c r="N4" s="22"/>
      <c r="O4" s="22"/>
      <c r="P4" s="22"/>
      <c r="Q4" s="22"/>
      <c r="R4" s="22"/>
      <c r="S4" s="22"/>
      <c r="T4" s="22"/>
      <c r="U4" s="22"/>
      <c r="V4" s="22"/>
      <c r="W4" s="22"/>
    </row>
    <row r="5" spans="1:23" x14ac:dyDescent="0.25">
      <c r="A5" t="s">
        <v>161</v>
      </c>
      <c r="B5" t="s">
        <v>310</v>
      </c>
      <c r="C5" t="s">
        <v>120</v>
      </c>
      <c r="D5" s="18">
        <f>SUM(D13:D14)</f>
        <v>100115863.08561663</v>
      </c>
      <c r="E5" s="18">
        <f t="shared" ref="E5:W5" si="0">SUM(E13:E14)</f>
        <v>0</v>
      </c>
      <c r="F5" s="18">
        <f t="shared" si="0"/>
        <v>0</v>
      </c>
      <c r="G5" s="18">
        <f t="shared" si="0"/>
        <v>2919414.9016166409</v>
      </c>
      <c r="H5" s="18">
        <f t="shared" si="0"/>
        <v>3339438.6181718027</v>
      </c>
      <c r="I5" s="18">
        <f t="shared" si="0"/>
        <v>3818228.4521169234</v>
      </c>
      <c r="J5" s="18">
        <f t="shared" si="0"/>
        <v>4363839.9301071996</v>
      </c>
      <c r="K5" s="18">
        <f t="shared" si="0"/>
        <v>4985415.6731046587</v>
      </c>
      <c r="L5" s="18">
        <f t="shared" si="0"/>
        <v>5693330.2994279638</v>
      </c>
      <c r="M5" s="18">
        <f t="shared" si="0"/>
        <v>6499354.4503761576</v>
      </c>
      <c r="N5" s="18">
        <f t="shared" si="0"/>
        <v>7416840.4412401523</v>
      </c>
      <c r="O5" s="18">
        <f t="shared" si="0"/>
        <v>8460932.3658260889</v>
      </c>
      <c r="P5" s="18">
        <f t="shared" si="0"/>
        <v>9648803.8499587923</v>
      </c>
      <c r="Q5" s="18">
        <f t="shared" si="0"/>
        <v>10999927.064215451</v>
      </c>
      <c r="R5" s="18">
        <f t="shared" si="0"/>
        <v>12536377.0744543</v>
      </c>
      <c r="S5" s="18">
        <f t="shared" si="0"/>
        <v>14283176.137425773</v>
      </c>
      <c r="T5" s="18">
        <f t="shared" si="0"/>
        <v>16268683.145638254</v>
      </c>
      <c r="U5" s="18">
        <f t="shared" si="0"/>
        <v>18525034.099442799</v>
      </c>
      <c r="V5" s="18">
        <f t="shared" si="0"/>
        <v>21088640.244863246</v>
      </c>
      <c r="W5" s="18">
        <f t="shared" si="0"/>
        <v>24000751.374152619</v>
      </c>
    </row>
    <row r="6" spans="1:23" x14ac:dyDescent="0.25">
      <c r="A6" t="s">
        <v>162</v>
      </c>
      <c r="B6" t="s">
        <v>311</v>
      </c>
      <c r="C6" t="s">
        <v>120</v>
      </c>
      <c r="D6" s="18">
        <f>D20</f>
        <v>50057931.542808317</v>
      </c>
      <c r="E6" s="18">
        <f t="shared" ref="E6:W6" si="1">E20</f>
        <v>0</v>
      </c>
      <c r="F6" s="18">
        <f t="shared" si="1"/>
        <v>0</v>
      </c>
      <c r="G6" s="18">
        <f t="shared" si="1"/>
        <v>1459707.4508083204</v>
      </c>
      <c r="H6" s="18">
        <f t="shared" si="1"/>
        <v>1669719.3090859014</v>
      </c>
      <c r="I6" s="18">
        <f t="shared" si="1"/>
        <v>1909114.2260584617</v>
      </c>
      <c r="J6" s="18">
        <f t="shared" si="1"/>
        <v>2181919.9650535998</v>
      </c>
      <c r="K6" s="18">
        <f t="shared" si="1"/>
        <v>2492707.8365523294</v>
      </c>
      <c r="L6" s="18">
        <f t="shared" si="1"/>
        <v>2846665.1497139819</v>
      </c>
      <c r="M6" s="18">
        <f t="shared" si="1"/>
        <v>3249677.2251880788</v>
      </c>
      <c r="N6" s="18">
        <f t="shared" si="1"/>
        <v>3708420.2206200762</v>
      </c>
      <c r="O6" s="18">
        <f t="shared" si="1"/>
        <v>4230466.1829130445</v>
      </c>
      <c r="P6" s="18">
        <f t="shared" si="1"/>
        <v>4824401.9249793962</v>
      </c>
      <c r="Q6" s="18">
        <f t="shared" si="1"/>
        <v>5499963.5321077257</v>
      </c>
      <c r="R6" s="18">
        <f t="shared" si="1"/>
        <v>6268188.5372271501</v>
      </c>
      <c r="S6" s="18">
        <f t="shared" si="1"/>
        <v>7141588.0687128864</v>
      </c>
      <c r="T6" s="18">
        <f t="shared" si="1"/>
        <v>8134341.5728191268</v>
      </c>
      <c r="U6" s="18">
        <f t="shared" si="1"/>
        <v>9262517.0497213993</v>
      </c>
      <c r="V6" s="18">
        <f t="shared" si="1"/>
        <v>10544320.122431623</v>
      </c>
      <c r="W6" s="18">
        <f t="shared" si="1"/>
        <v>12000375.68707631</v>
      </c>
    </row>
    <row r="8" spans="1:23" ht="15" customHeight="1" x14ac:dyDescent="0.25">
      <c r="A8" t="s">
        <v>121</v>
      </c>
      <c r="B8" t="s">
        <v>178</v>
      </c>
      <c r="C8" t="s">
        <v>120</v>
      </c>
      <c r="D8" s="20">
        <f>D5-D4</f>
        <v>92617448.79990235</v>
      </c>
      <c r="E8" s="4"/>
    </row>
    <row r="9" spans="1:23" ht="15" customHeight="1" x14ac:dyDescent="0.25">
      <c r="A9" t="s">
        <v>244</v>
      </c>
      <c r="B9" t="s">
        <v>247</v>
      </c>
      <c r="C9" t="s">
        <v>126</v>
      </c>
      <c r="D9" s="21">
        <f>D5/D4</f>
        <v>13.351604655447465</v>
      </c>
    </row>
    <row r="10" spans="1:23" ht="15" customHeight="1" x14ac:dyDescent="0.25">
      <c r="A10" t="s">
        <v>245</v>
      </c>
      <c r="B10" t="s">
        <v>248</v>
      </c>
      <c r="C10" t="s">
        <v>126</v>
      </c>
      <c r="D10" s="21">
        <f>D6/D4</f>
        <v>6.6758023277237326</v>
      </c>
      <c r="E10" s="9"/>
    </row>
    <row r="11" spans="1:23" ht="15" customHeight="1" x14ac:dyDescent="0.25">
      <c r="A11" t="s">
        <v>246</v>
      </c>
      <c r="B11" t="s">
        <v>249</v>
      </c>
      <c r="C11" t="s">
        <v>126</v>
      </c>
      <c r="D11" s="21">
        <f>D9</f>
        <v>13.351604655447465</v>
      </c>
      <c r="E11" s="39" t="s">
        <v>331</v>
      </c>
    </row>
    <row r="12" spans="1:23" ht="15" customHeight="1" x14ac:dyDescent="0.25">
      <c r="D12" s="9"/>
      <c r="E12" s="9"/>
    </row>
    <row r="13" spans="1:23" ht="15" customHeight="1" x14ac:dyDescent="0.25">
      <c r="A13" t="s">
        <v>122</v>
      </c>
      <c r="B13" t="s">
        <v>124</v>
      </c>
      <c r="C13" t="s">
        <v>120</v>
      </c>
      <c r="D13" s="18">
        <f>SUM(E13:W13)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row>
    <row r="14" spans="1:23" ht="15" customHeight="1" x14ac:dyDescent="0.25">
      <c r="A14" t="s">
        <v>123</v>
      </c>
      <c r="B14" t="s">
        <v>125</v>
      </c>
      <c r="C14" t="s">
        <v>120</v>
      </c>
      <c r="D14" s="18">
        <f>SUM(D16)</f>
        <v>100115863.08561663</v>
      </c>
      <c r="E14" s="18">
        <f>SUM(E16)</f>
        <v>0</v>
      </c>
      <c r="F14" s="18">
        <f t="shared" ref="F14:W14" si="2">SUM(F16)</f>
        <v>0</v>
      </c>
      <c r="G14" s="18">
        <f t="shared" si="2"/>
        <v>2919414.9016166409</v>
      </c>
      <c r="H14" s="18">
        <f t="shared" si="2"/>
        <v>3339438.6181718027</v>
      </c>
      <c r="I14" s="18">
        <f t="shared" si="2"/>
        <v>3818228.4521169234</v>
      </c>
      <c r="J14" s="18">
        <f t="shared" si="2"/>
        <v>4363839.9301071996</v>
      </c>
      <c r="K14" s="18">
        <f t="shared" si="2"/>
        <v>4985415.6731046587</v>
      </c>
      <c r="L14" s="18">
        <f t="shared" si="2"/>
        <v>5693330.2994279638</v>
      </c>
      <c r="M14" s="18">
        <f t="shared" si="2"/>
        <v>6499354.4503761576</v>
      </c>
      <c r="N14" s="18">
        <f t="shared" si="2"/>
        <v>7416840.4412401523</v>
      </c>
      <c r="O14" s="18">
        <f t="shared" si="2"/>
        <v>8460932.3658260889</v>
      </c>
      <c r="P14" s="18">
        <f t="shared" si="2"/>
        <v>9648803.8499587923</v>
      </c>
      <c r="Q14" s="18">
        <f t="shared" si="2"/>
        <v>10999927.064215451</v>
      </c>
      <c r="R14" s="18">
        <f t="shared" si="2"/>
        <v>12536377.0744543</v>
      </c>
      <c r="S14" s="18">
        <f t="shared" si="2"/>
        <v>14283176.137425773</v>
      </c>
      <c r="T14" s="18">
        <f t="shared" si="2"/>
        <v>16268683.145638254</v>
      </c>
      <c r="U14" s="18">
        <f t="shared" si="2"/>
        <v>18525034.099442799</v>
      </c>
      <c r="V14" s="18">
        <f t="shared" si="2"/>
        <v>21088640.244863246</v>
      </c>
      <c r="W14" s="18">
        <f t="shared" si="2"/>
        <v>24000751.374152619</v>
      </c>
    </row>
    <row r="16" spans="1:23" x14ac:dyDescent="0.25">
      <c r="A16" s="2" t="s">
        <v>135</v>
      </c>
      <c r="B16" s="2" t="s">
        <v>128</v>
      </c>
      <c r="C16" s="2"/>
      <c r="D16" s="23">
        <f>D18</f>
        <v>100115863.08561663</v>
      </c>
      <c r="E16" s="23">
        <f t="shared" ref="E16:W16" si="3">E18</f>
        <v>0</v>
      </c>
      <c r="F16" s="23">
        <f t="shared" si="3"/>
        <v>0</v>
      </c>
      <c r="G16" s="23">
        <f t="shared" si="3"/>
        <v>2919414.9016166409</v>
      </c>
      <c r="H16" s="23">
        <f t="shared" si="3"/>
        <v>3339438.6181718027</v>
      </c>
      <c r="I16" s="23">
        <f t="shared" si="3"/>
        <v>3818228.4521169234</v>
      </c>
      <c r="J16" s="23">
        <f t="shared" si="3"/>
        <v>4363839.9301071996</v>
      </c>
      <c r="K16" s="23">
        <f t="shared" si="3"/>
        <v>4985415.6731046587</v>
      </c>
      <c r="L16" s="23">
        <f t="shared" si="3"/>
        <v>5693330.2994279638</v>
      </c>
      <c r="M16" s="23">
        <f t="shared" si="3"/>
        <v>6499354.4503761576</v>
      </c>
      <c r="N16" s="23">
        <f t="shared" si="3"/>
        <v>7416840.4412401523</v>
      </c>
      <c r="O16" s="23">
        <f t="shared" si="3"/>
        <v>8460932.3658260889</v>
      </c>
      <c r="P16" s="23">
        <f t="shared" si="3"/>
        <v>9648803.8499587923</v>
      </c>
      <c r="Q16" s="23">
        <f t="shared" si="3"/>
        <v>10999927.064215451</v>
      </c>
      <c r="R16" s="23">
        <f t="shared" si="3"/>
        <v>12536377.0744543</v>
      </c>
      <c r="S16" s="23">
        <f t="shared" si="3"/>
        <v>14283176.137425773</v>
      </c>
      <c r="T16" s="23">
        <f t="shared" si="3"/>
        <v>16268683.145638254</v>
      </c>
      <c r="U16" s="23">
        <f t="shared" si="3"/>
        <v>18525034.099442799</v>
      </c>
      <c r="V16" s="23">
        <f t="shared" si="3"/>
        <v>21088640.244863246</v>
      </c>
      <c r="W16" s="23">
        <f t="shared" si="3"/>
        <v>24000751.374152619</v>
      </c>
    </row>
    <row r="17" spans="1:24" x14ac:dyDescent="0.25">
      <c r="A17" t="s">
        <v>136</v>
      </c>
      <c r="B17" t="s">
        <v>180</v>
      </c>
      <c r="C17" t="s">
        <v>165</v>
      </c>
      <c r="D17" s="29">
        <v>5.0000000000000001E-3</v>
      </c>
      <c r="E17" s="5"/>
    </row>
    <row r="18" spans="1:24" x14ac:dyDescent="0.25">
      <c r="A18" t="s">
        <v>140</v>
      </c>
      <c r="B18" t="s">
        <v>236</v>
      </c>
      <c r="C18" t="s">
        <v>120</v>
      </c>
      <c r="D18" s="18">
        <f>NPV(0.05,G18:W18)</f>
        <v>100115863.08561663</v>
      </c>
      <c r="E18" s="18"/>
      <c r="F18" s="18"/>
      <c r="G18" s="18">
        <f t="shared" ref="G18:W18" si="4">G26*G24*$D17*12</f>
        <v>2919414.9016166409</v>
      </c>
      <c r="H18" s="18">
        <f t="shared" si="4"/>
        <v>3339438.6181718027</v>
      </c>
      <c r="I18" s="18">
        <f t="shared" si="4"/>
        <v>3818228.4521169234</v>
      </c>
      <c r="J18" s="18">
        <f t="shared" si="4"/>
        <v>4363839.9301071996</v>
      </c>
      <c r="K18" s="18">
        <f t="shared" si="4"/>
        <v>4985415.6731046587</v>
      </c>
      <c r="L18" s="18">
        <f t="shared" si="4"/>
        <v>5693330.2994279638</v>
      </c>
      <c r="M18" s="18">
        <f t="shared" si="4"/>
        <v>6499354.4503761576</v>
      </c>
      <c r="N18" s="18">
        <f t="shared" si="4"/>
        <v>7416840.4412401523</v>
      </c>
      <c r="O18" s="18">
        <f t="shared" si="4"/>
        <v>8460932.3658260889</v>
      </c>
      <c r="P18" s="18">
        <f t="shared" si="4"/>
        <v>9648803.8499587923</v>
      </c>
      <c r="Q18" s="18">
        <f t="shared" si="4"/>
        <v>10999927.064215451</v>
      </c>
      <c r="R18" s="18">
        <f t="shared" si="4"/>
        <v>12536377.0744543</v>
      </c>
      <c r="S18" s="18">
        <f t="shared" si="4"/>
        <v>14283176.137425773</v>
      </c>
      <c r="T18" s="18">
        <f t="shared" si="4"/>
        <v>16268683.145638254</v>
      </c>
      <c r="U18" s="18">
        <f t="shared" si="4"/>
        <v>18525034.099442799</v>
      </c>
      <c r="V18" s="18">
        <f t="shared" si="4"/>
        <v>21088640.244863246</v>
      </c>
      <c r="W18" s="18">
        <f t="shared" si="4"/>
        <v>24000751.374152619</v>
      </c>
    </row>
    <row r="19" spans="1:24" ht="18" customHeight="1" x14ac:dyDescent="0.25">
      <c r="A19" s="7" t="s">
        <v>137</v>
      </c>
      <c r="B19" t="s">
        <v>181</v>
      </c>
      <c r="C19" t="s">
        <v>165</v>
      </c>
      <c r="D19" s="29">
        <v>2.5000000000000001E-3</v>
      </c>
      <c r="E19" s="5"/>
    </row>
    <row r="20" spans="1:24" x14ac:dyDescent="0.25">
      <c r="A20" s="7" t="s">
        <v>139</v>
      </c>
      <c r="B20" t="s">
        <v>236</v>
      </c>
      <c r="C20" t="s">
        <v>120</v>
      </c>
      <c r="D20" s="18">
        <f>NPV(0.05,G20:W20)</f>
        <v>50057931.542808317</v>
      </c>
      <c r="E20" s="18"/>
      <c r="F20" s="18"/>
      <c r="G20" s="18">
        <f t="shared" ref="G20:W20" si="5">G26*G24*$D19*12</f>
        <v>1459707.4508083204</v>
      </c>
      <c r="H20" s="18">
        <f t="shared" si="5"/>
        <v>1669719.3090859014</v>
      </c>
      <c r="I20" s="18">
        <f t="shared" si="5"/>
        <v>1909114.2260584617</v>
      </c>
      <c r="J20" s="18">
        <f t="shared" si="5"/>
        <v>2181919.9650535998</v>
      </c>
      <c r="K20" s="18">
        <f t="shared" si="5"/>
        <v>2492707.8365523294</v>
      </c>
      <c r="L20" s="18">
        <f t="shared" si="5"/>
        <v>2846665.1497139819</v>
      </c>
      <c r="M20" s="18">
        <f t="shared" si="5"/>
        <v>3249677.2251880788</v>
      </c>
      <c r="N20" s="18">
        <f t="shared" si="5"/>
        <v>3708420.2206200762</v>
      </c>
      <c r="O20" s="18">
        <f t="shared" si="5"/>
        <v>4230466.1829130445</v>
      </c>
      <c r="P20" s="18">
        <f t="shared" si="5"/>
        <v>4824401.9249793962</v>
      </c>
      <c r="Q20" s="18">
        <f t="shared" si="5"/>
        <v>5499963.5321077257</v>
      </c>
      <c r="R20" s="18">
        <f t="shared" si="5"/>
        <v>6268188.5372271501</v>
      </c>
      <c r="S20" s="18">
        <f t="shared" si="5"/>
        <v>7141588.0687128864</v>
      </c>
      <c r="T20" s="18">
        <f t="shared" si="5"/>
        <v>8134341.5728191268</v>
      </c>
      <c r="U20" s="18">
        <f t="shared" si="5"/>
        <v>9262517.0497213993</v>
      </c>
      <c r="V20" s="18">
        <f t="shared" si="5"/>
        <v>10544320.122431623</v>
      </c>
      <c r="W20" s="18">
        <f t="shared" si="5"/>
        <v>12000375.68707631</v>
      </c>
    </row>
    <row r="21" spans="1:24" x14ac:dyDescent="0.25">
      <c r="A21" s="7"/>
    </row>
    <row r="22" spans="1:24" x14ac:dyDescent="0.25">
      <c r="A22" s="2" t="s">
        <v>147</v>
      </c>
      <c r="B22" s="2" t="s">
        <v>10</v>
      </c>
      <c r="C22" s="2"/>
      <c r="D22" s="2"/>
      <c r="E22" s="2"/>
      <c r="F22" s="2"/>
      <c r="G22" s="2"/>
      <c r="H22" s="2"/>
      <c r="I22" s="2"/>
      <c r="J22" s="2"/>
      <c r="K22" s="2"/>
      <c r="L22" s="2"/>
      <c r="M22" s="2"/>
      <c r="N22" s="2"/>
      <c r="O22" s="2"/>
      <c r="P22" s="2"/>
      <c r="Q22" s="2"/>
      <c r="R22" s="2"/>
      <c r="S22" s="2"/>
      <c r="T22" s="2"/>
      <c r="U22" s="2"/>
      <c r="V22" s="2"/>
      <c r="W22" s="2"/>
    </row>
    <row r="23" spans="1:24" ht="30" x14ac:dyDescent="0.25">
      <c r="A23" t="s">
        <v>148</v>
      </c>
      <c r="B23" s="1" t="s">
        <v>38</v>
      </c>
      <c r="C23" s="7" t="s">
        <v>120</v>
      </c>
      <c r="D23" s="19"/>
      <c r="E23" s="17">
        <v>1842.2</v>
      </c>
      <c r="F23" s="19"/>
      <c r="G23" s="19"/>
      <c r="H23" s="19"/>
      <c r="I23" s="19"/>
      <c r="J23" s="19"/>
      <c r="K23" s="19"/>
      <c r="L23" s="19"/>
      <c r="M23" s="19"/>
      <c r="N23" s="19"/>
      <c r="O23" s="19"/>
      <c r="P23" s="19"/>
      <c r="Q23" s="19"/>
      <c r="R23" s="19"/>
      <c r="S23" s="19"/>
      <c r="T23" s="19"/>
      <c r="U23" s="19"/>
      <c r="V23" s="19"/>
      <c r="W23" s="19"/>
    </row>
    <row r="24" spans="1:24" ht="30" x14ac:dyDescent="0.25">
      <c r="A24" t="s">
        <v>182</v>
      </c>
      <c r="B24" s="1" t="s">
        <v>39</v>
      </c>
      <c r="C24" s="7" t="s">
        <v>120</v>
      </c>
      <c r="D24" s="19"/>
      <c r="E24" s="19"/>
      <c r="F24" s="17">
        <f>E23*1.12</f>
        <v>2063.2640000000001</v>
      </c>
      <c r="G24" s="17">
        <f>F24*1.12</f>
        <v>2310.8556800000006</v>
      </c>
      <c r="H24" s="17">
        <f t="shared" ref="H24:N24" si="6">G24*1.12</f>
        <v>2588.1583616000007</v>
      </c>
      <c r="I24" s="17">
        <f t="shared" si="6"/>
        <v>2898.7373649920009</v>
      </c>
      <c r="J24" s="17">
        <f t="shared" si="6"/>
        <v>3246.5858487910414</v>
      </c>
      <c r="K24" s="17">
        <f t="shared" si="6"/>
        <v>3636.1761506459666</v>
      </c>
      <c r="L24" s="17">
        <f t="shared" si="6"/>
        <v>4072.517288723483</v>
      </c>
      <c r="M24" s="17">
        <f t="shared" si="6"/>
        <v>4561.2193633703018</v>
      </c>
      <c r="N24" s="17">
        <f t="shared" si="6"/>
        <v>5108.5656869747381</v>
      </c>
      <c r="O24" s="17">
        <f t="shared" ref="O24" si="7">N24*1.12</f>
        <v>5721.593569411707</v>
      </c>
      <c r="P24" s="17">
        <f t="shared" ref="P24" si="8">O24*1.12</f>
        <v>6408.1847977411126</v>
      </c>
      <c r="Q24" s="17">
        <f t="shared" ref="Q24" si="9">P24*1.12</f>
        <v>7177.1669734700472</v>
      </c>
      <c r="R24" s="17">
        <f t="shared" ref="R24" si="10">Q24*1.12</f>
        <v>8038.4270102864539</v>
      </c>
      <c r="S24" s="17">
        <f t="shared" ref="S24" si="11">R24*1.12</f>
        <v>9003.0382515208294</v>
      </c>
      <c r="T24" s="17">
        <f t="shared" ref="T24" si="12">S24*1.12</f>
        <v>10083.40284170333</v>
      </c>
      <c r="U24" s="17">
        <f t="shared" ref="U24" si="13">T24*1.12</f>
        <v>11293.41118270773</v>
      </c>
      <c r="V24" s="17">
        <f t="shared" ref="V24" si="14">U24*1.12</f>
        <v>12648.620524632659</v>
      </c>
      <c r="W24" s="17">
        <f t="shared" ref="W24" si="15">V24*1.12</f>
        <v>14166.454987588579</v>
      </c>
    </row>
    <row r="25" spans="1:24" s="8" customFormat="1" x14ac:dyDescent="0.25">
      <c r="A25" t="s">
        <v>149</v>
      </c>
      <c r="B25" s="28" t="s">
        <v>40</v>
      </c>
      <c r="C25" s="7" t="s">
        <v>144</v>
      </c>
      <c r="D25" s="30">
        <v>18811</v>
      </c>
      <c r="E25" s="31"/>
      <c r="F25" s="31"/>
      <c r="G25" s="31"/>
      <c r="H25" s="31"/>
      <c r="I25" s="31"/>
      <c r="J25" s="31"/>
      <c r="K25" s="31"/>
      <c r="L25" s="31"/>
      <c r="M25" s="31"/>
      <c r="N25" s="31"/>
      <c r="O25" s="31"/>
      <c r="P25" s="31"/>
      <c r="Q25" s="31"/>
      <c r="R25" s="31"/>
      <c r="S25" s="31"/>
      <c r="T25" s="31"/>
      <c r="U25" s="31"/>
      <c r="V25" s="31"/>
      <c r="W25" s="31"/>
    </row>
    <row r="26" spans="1:24" ht="30" x14ac:dyDescent="0.25">
      <c r="A26" t="s">
        <v>183</v>
      </c>
      <c r="B26" s="1" t="s">
        <v>47</v>
      </c>
      <c r="C26" t="s">
        <v>144</v>
      </c>
      <c r="D26" s="19"/>
      <c r="E26" s="17">
        <v>20158.2</v>
      </c>
      <c r="F26" s="17">
        <v>20607</v>
      </c>
      <c r="G26" s="17">
        <v>21055.8</v>
      </c>
      <c r="H26" s="17">
        <v>21504.6</v>
      </c>
      <c r="I26" s="17">
        <v>21953.4</v>
      </c>
      <c r="J26" s="17">
        <v>22402.2</v>
      </c>
      <c r="K26" s="17">
        <v>22851</v>
      </c>
      <c r="L26" s="17">
        <v>23299.8</v>
      </c>
      <c r="M26" s="17">
        <v>23748.6</v>
      </c>
      <c r="N26" s="17">
        <v>24197.4</v>
      </c>
      <c r="O26" s="17">
        <v>24646.2</v>
      </c>
      <c r="P26" s="17">
        <v>25095</v>
      </c>
      <c r="Q26" s="17">
        <v>25543.8</v>
      </c>
      <c r="R26" s="17">
        <v>25992.6</v>
      </c>
      <c r="S26" s="17">
        <v>26441.4</v>
      </c>
      <c r="T26" s="17">
        <v>26890.2</v>
      </c>
      <c r="U26" s="17">
        <v>27339</v>
      </c>
      <c r="V26" s="17">
        <v>27787.8</v>
      </c>
      <c r="W26" s="17">
        <v>28236.6</v>
      </c>
      <c r="X26" s="3"/>
    </row>
    <row r="27" spans="1:24" ht="15.75" customHeight="1" x14ac:dyDescent="0.25"/>
    <row r="28" spans="1:24" x14ac:dyDescent="0.25">
      <c r="A28" s="2" t="s">
        <v>160</v>
      </c>
      <c r="B28" s="36" t="s">
        <v>277</v>
      </c>
      <c r="C28" s="2"/>
      <c r="D28" s="23"/>
      <c r="E28" s="23"/>
      <c r="F28" s="23"/>
      <c r="G28" s="23"/>
      <c r="H28" s="23"/>
      <c r="I28" s="23"/>
      <c r="J28" s="23"/>
      <c r="K28" s="23"/>
      <c r="L28" s="23"/>
      <c r="M28" s="23"/>
      <c r="N28" s="23"/>
      <c r="O28" s="23"/>
      <c r="P28" s="23"/>
      <c r="Q28" s="23"/>
      <c r="R28" s="23"/>
      <c r="S28" s="23"/>
      <c r="T28" s="23"/>
      <c r="U28" s="23"/>
      <c r="V28" s="23"/>
      <c r="W28" s="23"/>
    </row>
    <row r="29" spans="1:24" x14ac:dyDescent="0.25">
      <c r="A29" t="s">
        <v>158</v>
      </c>
      <c r="B29" t="s">
        <v>251</v>
      </c>
    </row>
    <row r="30" spans="1:24" x14ac:dyDescent="0.25">
      <c r="A30" t="s">
        <v>159</v>
      </c>
      <c r="B30" t="s">
        <v>252</v>
      </c>
    </row>
    <row r="31" spans="1:24" x14ac:dyDescent="0.25">
      <c r="A31" t="s">
        <v>258</v>
      </c>
      <c r="B31" t="s">
        <v>285</v>
      </c>
    </row>
  </sheetData>
  <mergeCells count="5">
    <mergeCell ref="B2:B3"/>
    <mergeCell ref="D2:D3"/>
    <mergeCell ref="F1:W1"/>
    <mergeCell ref="A1:A3"/>
    <mergeCell ref="C2:C3"/>
  </mergeCells>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BA93-3C90-4ECE-91DD-7794699162A8}">
  <sheetPr codeName="Sheet7">
    <tabColor theme="8" tint="0.79998168889431442"/>
  </sheetPr>
  <dimension ref="A1:AI33"/>
  <sheetViews>
    <sheetView workbookViewId="0">
      <selection activeCell="B24" sqref="B24"/>
    </sheetView>
  </sheetViews>
  <sheetFormatPr defaultRowHeight="15" x14ac:dyDescent="0.25"/>
  <cols>
    <col min="2" max="2" width="100.140625" customWidth="1"/>
    <col min="3" max="3" width="11.5703125" customWidth="1"/>
    <col min="4" max="4" width="18.7109375" customWidth="1"/>
    <col min="5" max="5" width="13.85546875" customWidth="1"/>
    <col min="6" max="21" width="9.5703125" bestFit="1" customWidth="1"/>
    <col min="22" max="35" width="9.85546875" bestFit="1" customWidth="1"/>
  </cols>
  <sheetData>
    <row r="1" spans="1:35" ht="17.25" customHeight="1" x14ac:dyDescent="0.25">
      <c r="A1" s="42" t="s">
        <v>117</v>
      </c>
      <c r="B1" s="15" t="s">
        <v>101</v>
      </c>
      <c r="C1" s="15" t="s">
        <v>118</v>
      </c>
      <c r="D1" s="15"/>
      <c r="E1" s="15"/>
      <c r="F1" s="40" t="s">
        <v>5</v>
      </c>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row>
    <row r="2" spans="1:35" ht="18" customHeight="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c r="AB2" s="15">
        <v>2045</v>
      </c>
      <c r="AC2" s="15">
        <v>2046</v>
      </c>
      <c r="AD2" s="15">
        <v>2047</v>
      </c>
      <c r="AE2" s="15">
        <v>2048</v>
      </c>
      <c r="AF2" s="15">
        <v>2049</v>
      </c>
      <c r="AG2" s="15">
        <v>2050</v>
      </c>
      <c r="AH2" s="15">
        <v>2051</v>
      </c>
      <c r="AI2" s="15">
        <v>2052</v>
      </c>
    </row>
    <row r="3" spans="1:35"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c r="AB3" s="15">
        <v>23</v>
      </c>
      <c r="AC3" s="15">
        <v>24</v>
      </c>
      <c r="AD3" s="15">
        <v>25</v>
      </c>
      <c r="AE3" s="15">
        <v>26</v>
      </c>
      <c r="AF3" s="15">
        <v>27</v>
      </c>
      <c r="AG3" s="15">
        <v>28</v>
      </c>
      <c r="AH3" s="15">
        <v>29</v>
      </c>
      <c r="AI3" s="15">
        <v>30</v>
      </c>
    </row>
    <row r="4" spans="1:35" x14ac:dyDescent="0.25">
      <c r="A4" t="s">
        <v>115</v>
      </c>
      <c r="B4" t="s">
        <v>313</v>
      </c>
      <c r="C4" t="s">
        <v>120</v>
      </c>
      <c r="D4" s="18">
        <f>E4+NPV(0.05,F4:L4)</f>
        <v>27906369.050456367</v>
      </c>
      <c r="E4" s="18">
        <f>32896945/8</f>
        <v>4112118.125</v>
      </c>
      <c r="F4" s="18">
        <f t="shared" ref="F4:L4" si="0">32896945/8</f>
        <v>4112118.125</v>
      </c>
      <c r="G4" s="18">
        <f t="shared" si="0"/>
        <v>4112118.125</v>
      </c>
      <c r="H4" s="18">
        <f t="shared" si="0"/>
        <v>4112118.125</v>
      </c>
      <c r="I4" s="18">
        <f t="shared" si="0"/>
        <v>4112118.125</v>
      </c>
      <c r="J4" s="18">
        <f t="shared" si="0"/>
        <v>4112118.125</v>
      </c>
      <c r="K4" s="18">
        <f t="shared" si="0"/>
        <v>4112118.125</v>
      </c>
      <c r="L4" s="18">
        <f t="shared" si="0"/>
        <v>4112118.125</v>
      </c>
      <c r="M4" s="22"/>
      <c r="N4" s="22"/>
      <c r="O4" s="22"/>
      <c r="P4" s="22"/>
      <c r="Q4" s="22"/>
      <c r="R4" s="22"/>
      <c r="S4" s="22"/>
      <c r="T4" s="22"/>
      <c r="U4" s="22"/>
      <c r="V4" s="22"/>
      <c r="W4" s="22"/>
      <c r="X4" s="22"/>
      <c r="Y4" s="22"/>
      <c r="Z4" s="22"/>
      <c r="AA4" s="22"/>
      <c r="AB4" s="22"/>
      <c r="AC4" s="22"/>
      <c r="AD4" s="22"/>
      <c r="AE4" s="22"/>
      <c r="AF4" s="22"/>
      <c r="AG4" s="22"/>
      <c r="AH4" s="22"/>
      <c r="AI4" s="22"/>
    </row>
    <row r="5" spans="1:35" x14ac:dyDescent="0.25">
      <c r="A5" t="s">
        <v>161</v>
      </c>
      <c r="B5" t="s">
        <v>310</v>
      </c>
      <c r="C5" t="s">
        <v>120</v>
      </c>
      <c r="D5" s="18">
        <f>SUM(D13:D14)</f>
        <v>271470443.96455872</v>
      </c>
      <c r="E5" s="18">
        <f t="shared" ref="E5:U5" si="1">SUM(E13:E14)</f>
        <v>0</v>
      </c>
      <c r="F5" s="18">
        <f t="shared" si="1"/>
        <v>2063515.9199999997</v>
      </c>
      <c r="G5" s="18">
        <f t="shared" si="1"/>
        <v>4164985.2699999996</v>
      </c>
      <c r="H5" s="18">
        <f t="shared" si="1"/>
        <v>6379139.4399999995</v>
      </c>
      <c r="I5" s="18">
        <f t="shared" si="1"/>
        <v>8789614.5899999999</v>
      </c>
      <c r="J5" s="18">
        <f t="shared" si="1"/>
        <v>11454969</v>
      </c>
      <c r="K5" s="18">
        <f t="shared" si="1"/>
        <v>14126047.700000001</v>
      </c>
      <c r="L5" s="18">
        <f t="shared" si="1"/>
        <v>15857922.610000001</v>
      </c>
      <c r="M5" s="18">
        <f t="shared" si="1"/>
        <v>16347170.970000001</v>
      </c>
      <c r="N5" s="18">
        <f t="shared" si="1"/>
        <v>16948732.32</v>
      </c>
      <c r="O5" s="18">
        <f t="shared" si="1"/>
        <v>17572430.07</v>
      </c>
      <c r="P5" s="18">
        <f t="shared" si="1"/>
        <v>18219079.710000001</v>
      </c>
      <c r="Q5" s="18">
        <f t="shared" si="1"/>
        <v>18889525.98</v>
      </c>
      <c r="R5" s="18">
        <f t="shared" si="1"/>
        <v>19584644.039999999</v>
      </c>
      <c r="S5" s="18">
        <f t="shared" si="1"/>
        <v>20305340.640000001</v>
      </c>
      <c r="T5" s="18">
        <f t="shared" si="1"/>
        <v>21052558.800000001</v>
      </c>
      <c r="U5" s="18">
        <f t="shared" si="1"/>
        <v>21827274.300000001</v>
      </c>
      <c r="V5" s="18">
        <f t="shared" ref="V5:AI5" si="2">SUM(V13:V14)</f>
        <v>22630499.190000001</v>
      </c>
      <c r="W5" s="18">
        <f t="shared" si="2"/>
        <v>23463280.619999997</v>
      </c>
      <c r="X5" s="18">
        <f t="shared" si="2"/>
        <v>24326709.030000001</v>
      </c>
      <c r="Y5" s="18">
        <f t="shared" si="2"/>
        <v>25221909.960000001</v>
      </c>
      <c r="Z5" s="18">
        <f t="shared" si="2"/>
        <v>26150053.410000004</v>
      </c>
      <c r="AA5" s="18">
        <f t="shared" si="2"/>
        <v>27112351.5</v>
      </c>
      <c r="AB5" s="18">
        <f t="shared" si="2"/>
        <v>28110061.98</v>
      </c>
      <c r="AC5" s="18">
        <f t="shared" si="2"/>
        <v>29144487.059999999</v>
      </c>
      <c r="AD5" s="18">
        <f t="shared" si="2"/>
        <v>30216978.090000004</v>
      </c>
      <c r="AE5" s="18">
        <f t="shared" si="2"/>
        <v>31328935.559999999</v>
      </c>
      <c r="AF5" s="18">
        <f t="shared" si="2"/>
        <v>32481812.609999999</v>
      </c>
      <c r="AG5" s="18">
        <f t="shared" si="2"/>
        <v>33677115.030000001</v>
      </c>
      <c r="AH5" s="18">
        <f t="shared" si="2"/>
        <v>34916402.43</v>
      </c>
      <c r="AI5" s="18">
        <f t="shared" si="2"/>
        <v>36201294.090000004</v>
      </c>
    </row>
    <row r="6" spans="1:35" x14ac:dyDescent="0.25">
      <c r="A6" t="s">
        <v>162</v>
      </c>
      <c r="B6" t="s">
        <v>312</v>
      </c>
      <c r="C6" t="s">
        <v>120</v>
      </c>
      <c r="D6" s="18">
        <f>NPV(0.05,F6:U6)</f>
        <v>106133222.26753916</v>
      </c>
      <c r="E6" s="18">
        <f>0.9*E20</f>
        <v>0</v>
      </c>
      <c r="F6" s="18">
        <f>0.9*F20+F24</f>
        <v>992361.86999999988</v>
      </c>
      <c r="G6" s="18">
        <f t="shared" ref="G6:AI6" si="3">0.9*G20+G24</f>
        <v>2155827.21</v>
      </c>
      <c r="H6" s="18">
        <f t="shared" si="3"/>
        <v>3895203.5239999997</v>
      </c>
      <c r="I6" s="18">
        <f t="shared" si="3"/>
        <v>5779711.6660000002</v>
      </c>
      <c r="J6" s="18">
        <f t="shared" si="3"/>
        <v>7797642.0439999988</v>
      </c>
      <c r="K6" s="18">
        <f t="shared" si="3"/>
        <v>9956261.1800000016</v>
      </c>
      <c r="L6" s="18">
        <f t="shared" si="3"/>
        <v>12263191.85</v>
      </c>
      <c r="M6" s="18">
        <f t="shared" si="3"/>
        <v>12574746.9</v>
      </c>
      <c r="N6" s="18">
        <f t="shared" si="3"/>
        <v>13037486.4</v>
      </c>
      <c r="O6" s="18">
        <f t="shared" si="3"/>
        <v>13517253.9</v>
      </c>
      <c r="P6" s="18">
        <f t="shared" si="3"/>
        <v>14014676.700000001</v>
      </c>
      <c r="Q6" s="18">
        <f t="shared" si="3"/>
        <v>14530404.6</v>
      </c>
      <c r="R6" s="18">
        <f t="shared" si="3"/>
        <v>15065110.800000001</v>
      </c>
      <c r="S6" s="18">
        <f t="shared" si="3"/>
        <v>15619492.800000001</v>
      </c>
      <c r="T6" s="18">
        <f t="shared" si="3"/>
        <v>16194276</v>
      </c>
      <c r="U6" s="18">
        <f t="shared" si="3"/>
        <v>16790211</v>
      </c>
      <c r="V6" s="18">
        <f t="shared" si="3"/>
        <v>17408076.300000001</v>
      </c>
      <c r="W6" s="18">
        <f t="shared" si="3"/>
        <v>18048677.400000002</v>
      </c>
      <c r="X6" s="18">
        <f t="shared" si="3"/>
        <v>18712853.100000001</v>
      </c>
      <c r="Y6" s="18">
        <f t="shared" si="3"/>
        <v>19401469.199999999</v>
      </c>
      <c r="Z6" s="18">
        <f t="shared" si="3"/>
        <v>20115425.699999999</v>
      </c>
      <c r="AA6" s="18">
        <f t="shared" si="3"/>
        <v>20855655</v>
      </c>
      <c r="AB6" s="18">
        <f t="shared" si="3"/>
        <v>21623124.600000001</v>
      </c>
      <c r="AC6" s="18">
        <f t="shared" si="3"/>
        <v>22418836.199999999</v>
      </c>
      <c r="AD6" s="18">
        <f t="shared" si="3"/>
        <v>23243829.300000001</v>
      </c>
      <c r="AE6" s="18">
        <f t="shared" si="3"/>
        <v>24099181.199999999</v>
      </c>
      <c r="AF6" s="18">
        <f t="shared" si="3"/>
        <v>24986009.699999999</v>
      </c>
      <c r="AG6" s="18">
        <f t="shared" si="3"/>
        <v>25905473.100000005</v>
      </c>
      <c r="AH6" s="18">
        <f t="shared" si="3"/>
        <v>26858771.099999998</v>
      </c>
      <c r="AI6" s="18">
        <f t="shared" si="3"/>
        <v>27847149.300000001</v>
      </c>
    </row>
    <row r="8" spans="1:35" x14ac:dyDescent="0.25">
      <c r="A8" t="s">
        <v>121</v>
      </c>
      <c r="B8" t="s">
        <v>178</v>
      </c>
      <c r="C8" t="s">
        <v>120</v>
      </c>
      <c r="D8" s="20">
        <f>D5-D4</f>
        <v>243564074.91410235</v>
      </c>
    </row>
    <row r="9" spans="1:35" x14ac:dyDescent="0.25">
      <c r="A9" t="s">
        <v>244</v>
      </c>
      <c r="B9" t="s">
        <v>247</v>
      </c>
      <c r="C9" t="s">
        <v>126</v>
      </c>
      <c r="D9" s="24">
        <f>D5/D4</f>
        <v>9.727902740543712</v>
      </c>
    </row>
    <row r="10" spans="1:35" x14ac:dyDescent="0.25">
      <c r="A10" t="s">
        <v>245</v>
      </c>
      <c r="B10" t="s">
        <v>248</v>
      </c>
      <c r="C10" t="s">
        <v>126</v>
      </c>
      <c r="D10" s="21">
        <f>D9</f>
        <v>9.727902740543712</v>
      </c>
      <c r="E10" t="s">
        <v>332</v>
      </c>
    </row>
    <row r="11" spans="1:35" x14ac:dyDescent="0.25">
      <c r="A11" t="s">
        <v>246</v>
      </c>
      <c r="B11" t="s">
        <v>249</v>
      </c>
      <c r="C11" t="s">
        <v>126</v>
      </c>
      <c r="D11" s="21">
        <f>D6/(D4*0.8)</f>
        <v>4.7539874354329292</v>
      </c>
    </row>
    <row r="12" spans="1:35" x14ac:dyDescent="0.25">
      <c r="D12" s="9"/>
    </row>
    <row r="13" spans="1:35" x14ac:dyDescent="0.25">
      <c r="A13" t="s">
        <v>122</v>
      </c>
      <c r="B13" t="s">
        <v>124</v>
      </c>
      <c r="C13" t="s">
        <v>120</v>
      </c>
      <c r="D13" s="18">
        <f>SUM(E13:U13)</f>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c r="AE13" s="18">
        <v>0</v>
      </c>
      <c r="AF13" s="18">
        <v>0</v>
      </c>
      <c r="AG13" s="18">
        <v>0</v>
      </c>
      <c r="AH13" s="18">
        <v>0</v>
      </c>
      <c r="AI13" s="18">
        <v>0</v>
      </c>
    </row>
    <row r="14" spans="1:35" x14ac:dyDescent="0.25">
      <c r="A14" t="s">
        <v>123</v>
      </c>
      <c r="B14" t="s">
        <v>125</v>
      </c>
      <c r="C14" t="s">
        <v>120</v>
      </c>
      <c r="D14" s="18">
        <f>SUM(D16)</f>
        <v>271470443.96455872</v>
      </c>
      <c r="E14" s="18">
        <f>SUM(E16)</f>
        <v>0</v>
      </c>
      <c r="F14" s="18">
        <f t="shared" ref="F14:U14" si="4">SUM(F16)</f>
        <v>2063515.9199999997</v>
      </c>
      <c r="G14" s="18">
        <f t="shared" si="4"/>
        <v>4164985.2699999996</v>
      </c>
      <c r="H14" s="18">
        <f t="shared" si="4"/>
        <v>6379139.4399999995</v>
      </c>
      <c r="I14" s="18">
        <f t="shared" si="4"/>
        <v>8789614.5899999999</v>
      </c>
      <c r="J14" s="18">
        <f t="shared" si="4"/>
        <v>11454969</v>
      </c>
      <c r="K14" s="18">
        <f t="shared" si="4"/>
        <v>14126047.700000001</v>
      </c>
      <c r="L14" s="18">
        <f t="shared" si="4"/>
        <v>15857922.610000001</v>
      </c>
      <c r="M14" s="18">
        <f t="shared" si="4"/>
        <v>16347170.970000001</v>
      </c>
      <c r="N14" s="18">
        <f t="shared" si="4"/>
        <v>16948732.32</v>
      </c>
      <c r="O14" s="18">
        <f t="shared" si="4"/>
        <v>17572430.07</v>
      </c>
      <c r="P14" s="18">
        <f t="shared" si="4"/>
        <v>18219079.710000001</v>
      </c>
      <c r="Q14" s="18">
        <f t="shared" si="4"/>
        <v>18889525.98</v>
      </c>
      <c r="R14" s="18">
        <f t="shared" si="4"/>
        <v>19584644.039999999</v>
      </c>
      <c r="S14" s="18">
        <f t="shared" si="4"/>
        <v>20305340.640000001</v>
      </c>
      <c r="T14" s="18">
        <f t="shared" si="4"/>
        <v>21052558.800000001</v>
      </c>
      <c r="U14" s="18">
        <f t="shared" si="4"/>
        <v>21827274.300000001</v>
      </c>
      <c r="V14" s="18">
        <f t="shared" ref="V14:AI14" si="5">SUM(V16)</f>
        <v>22630499.190000001</v>
      </c>
      <c r="W14" s="18">
        <f t="shared" si="5"/>
        <v>23463280.619999997</v>
      </c>
      <c r="X14" s="18">
        <f t="shared" si="5"/>
        <v>24326709.030000001</v>
      </c>
      <c r="Y14" s="18">
        <f t="shared" si="5"/>
        <v>25221909.960000001</v>
      </c>
      <c r="Z14" s="18">
        <f t="shared" si="5"/>
        <v>26150053.410000004</v>
      </c>
      <c r="AA14" s="18">
        <f t="shared" si="5"/>
        <v>27112351.5</v>
      </c>
      <c r="AB14" s="18">
        <f t="shared" si="5"/>
        <v>28110061.98</v>
      </c>
      <c r="AC14" s="18">
        <f t="shared" si="5"/>
        <v>29144487.059999999</v>
      </c>
      <c r="AD14" s="18">
        <f t="shared" si="5"/>
        <v>30216978.090000004</v>
      </c>
      <c r="AE14" s="18">
        <f t="shared" si="5"/>
        <v>31328935.559999999</v>
      </c>
      <c r="AF14" s="18">
        <f t="shared" si="5"/>
        <v>32481812.609999999</v>
      </c>
      <c r="AG14" s="18">
        <f t="shared" si="5"/>
        <v>33677115.030000001</v>
      </c>
      <c r="AH14" s="18">
        <f t="shared" si="5"/>
        <v>34916402.43</v>
      </c>
      <c r="AI14" s="18">
        <f t="shared" si="5"/>
        <v>36201294.090000004</v>
      </c>
    </row>
    <row r="15" spans="1:35" x14ac:dyDescent="0.25">
      <c r="D15" s="27"/>
      <c r="E15" s="27"/>
      <c r="F15" s="27"/>
      <c r="G15" s="27"/>
      <c r="H15" s="27"/>
      <c r="I15" s="27"/>
      <c r="J15" s="27"/>
      <c r="K15" s="27"/>
      <c r="L15" s="27"/>
      <c r="M15" s="27"/>
      <c r="N15" s="27"/>
      <c r="O15" s="27"/>
      <c r="P15" s="27"/>
      <c r="Q15" s="27"/>
      <c r="R15" s="27"/>
      <c r="S15" s="27"/>
      <c r="T15" s="27"/>
      <c r="U15" s="27"/>
    </row>
    <row r="16" spans="1:35" x14ac:dyDescent="0.25">
      <c r="A16" s="2" t="s">
        <v>127</v>
      </c>
      <c r="B16" s="2" t="s">
        <v>242</v>
      </c>
      <c r="C16" s="2"/>
      <c r="D16" s="23">
        <f>D18*0.9+D22</f>
        <v>271470443.96455872</v>
      </c>
      <c r="E16" s="23">
        <f t="shared" ref="E16" si="6">E18*0.9</f>
        <v>0</v>
      </c>
      <c r="F16" s="23">
        <f>F18*0.9+F22</f>
        <v>2063515.9199999997</v>
      </c>
      <c r="G16" s="23">
        <f t="shared" ref="G16:AI16" si="7">G18*0.9+G22</f>
        <v>4164985.2699999996</v>
      </c>
      <c r="H16" s="23">
        <f t="shared" si="7"/>
        <v>6379139.4399999995</v>
      </c>
      <c r="I16" s="23">
        <f t="shared" si="7"/>
        <v>8789614.5899999999</v>
      </c>
      <c r="J16" s="23">
        <f t="shared" si="7"/>
        <v>11454969</v>
      </c>
      <c r="K16" s="23">
        <f t="shared" si="7"/>
        <v>14126047.700000001</v>
      </c>
      <c r="L16" s="23">
        <f t="shared" si="7"/>
        <v>15857922.610000001</v>
      </c>
      <c r="M16" s="23">
        <f t="shared" si="7"/>
        <v>16347170.970000001</v>
      </c>
      <c r="N16" s="23">
        <f t="shared" si="7"/>
        <v>16948732.32</v>
      </c>
      <c r="O16" s="23">
        <f t="shared" si="7"/>
        <v>17572430.07</v>
      </c>
      <c r="P16" s="23">
        <f t="shared" si="7"/>
        <v>18219079.710000001</v>
      </c>
      <c r="Q16" s="23">
        <f t="shared" si="7"/>
        <v>18889525.98</v>
      </c>
      <c r="R16" s="23">
        <f t="shared" si="7"/>
        <v>19584644.039999999</v>
      </c>
      <c r="S16" s="23">
        <f t="shared" si="7"/>
        <v>20305340.640000001</v>
      </c>
      <c r="T16" s="23">
        <f t="shared" si="7"/>
        <v>21052558.800000001</v>
      </c>
      <c r="U16" s="23">
        <f t="shared" si="7"/>
        <v>21827274.300000001</v>
      </c>
      <c r="V16" s="23">
        <f t="shared" si="7"/>
        <v>22630499.190000001</v>
      </c>
      <c r="W16" s="23">
        <f t="shared" si="7"/>
        <v>23463280.619999997</v>
      </c>
      <c r="X16" s="23">
        <f t="shared" si="7"/>
        <v>24326709.030000001</v>
      </c>
      <c r="Y16" s="23">
        <f t="shared" si="7"/>
        <v>25221909.960000001</v>
      </c>
      <c r="Z16" s="23">
        <f t="shared" si="7"/>
        <v>26150053.410000004</v>
      </c>
      <c r="AA16" s="23">
        <f t="shared" si="7"/>
        <v>27112351.5</v>
      </c>
      <c r="AB16" s="23">
        <f t="shared" si="7"/>
        <v>28110061.98</v>
      </c>
      <c r="AC16" s="23">
        <f t="shared" si="7"/>
        <v>29144487.059999999</v>
      </c>
      <c r="AD16" s="23">
        <f t="shared" si="7"/>
        <v>30216978.090000004</v>
      </c>
      <c r="AE16" s="23">
        <f t="shared" si="7"/>
        <v>31328935.559999999</v>
      </c>
      <c r="AF16" s="23">
        <f t="shared" si="7"/>
        <v>32481812.609999999</v>
      </c>
      <c r="AG16" s="23">
        <f t="shared" si="7"/>
        <v>33677115.030000001</v>
      </c>
      <c r="AH16" s="23">
        <f t="shared" si="7"/>
        <v>34916402.43</v>
      </c>
      <c r="AI16" s="23">
        <f t="shared" si="7"/>
        <v>36201294.090000004</v>
      </c>
    </row>
    <row r="17" spans="1:35" x14ac:dyDescent="0.25">
      <c r="A17" t="s">
        <v>129</v>
      </c>
      <c r="B17" t="s">
        <v>347</v>
      </c>
      <c r="C17" t="s">
        <v>144</v>
      </c>
      <c r="D17" s="17">
        <v>130</v>
      </c>
      <c r="E17" s="17"/>
      <c r="F17" s="17">
        <v>20</v>
      </c>
      <c r="G17" s="17">
        <v>40</v>
      </c>
      <c r="H17" s="17">
        <v>60</v>
      </c>
      <c r="I17" s="17">
        <v>80</v>
      </c>
      <c r="J17" s="17">
        <v>100</v>
      </c>
      <c r="K17" s="17">
        <v>120</v>
      </c>
      <c r="L17" s="17">
        <v>130</v>
      </c>
      <c r="M17" s="17">
        <v>130</v>
      </c>
      <c r="N17" s="17">
        <v>130</v>
      </c>
      <c r="O17" s="17">
        <v>130</v>
      </c>
      <c r="P17" s="17">
        <f>O17</f>
        <v>130</v>
      </c>
      <c r="Q17" s="17">
        <f t="shared" ref="Q17:AI17" si="8">P17</f>
        <v>130</v>
      </c>
      <c r="R17" s="17">
        <f t="shared" si="8"/>
        <v>130</v>
      </c>
      <c r="S17" s="17">
        <f t="shared" si="8"/>
        <v>130</v>
      </c>
      <c r="T17" s="17">
        <f t="shared" si="8"/>
        <v>130</v>
      </c>
      <c r="U17" s="17">
        <f t="shared" si="8"/>
        <v>130</v>
      </c>
      <c r="V17" s="17">
        <f t="shared" si="8"/>
        <v>130</v>
      </c>
      <c r="W17" s="17">
        <f t="shared" si="8"/>
        <v>130</v>
      </c>
      <c r="X17" s="17">
        <f t="shared" si="8"/>
        <v>130</v>
      </c>
      <c r="Y17" s="17">
        <f t="shared" si="8"/>
        <v>130</v>
      </c>
      <c r="Z17" s="17">
        <f t="shared" si="8"/>
        <v>130</v>
      </c>
      <c r="AA17" s="17">
        <f t="shared" si="8"/>
        <v>130</v>
      </c>
      <c r="AB17" s="17">
        <f t="shared" si="8"/>
        <v>130</v>
      </c>
      <c r="AC17" s="17">
        <f t="shared" si="8"/>
        <v>130</v>
      </c>
      <c r="AD17" s="17">
        <f t="shared" si="8"/>
        <v>130</v>
      </c>
      <c r="AE17" s="17">
        <f t="shared" si="8"/>
        <v>130</v>
      </c>
      <c r="AF17" s="17">
        <f t="shared" si="8"/>
        <v>130</v>
      </c>
      <c r="AG17" s="17">
        <f t="shared" si="8"/>
        <v>130</v>
      </c>
      <c r="AH17" s="17">
        <f t="shared" si="8"/>
        <v>130</v>
      </c>
      <c r="AI17" s="17">
        <f t="shared" si="8"/>
        <v>130</v>
      </c>
    </row>
    <row r="18" spans="1:35" x14ac:dyDescent="0.25">
      <c r="A18" t="s">
        <v>130</v>
      </c>
      <c r="B18" t="s">
        <v>185</v>
      </c>
      <c r="C18" t="s">
        <v>120</v>
      </c>
      <c r="D18" s="18">
        <f>NPV(0.05,F18:AI18)</f>
        <v>301019628.11859924</v>
      </c>
      <c r="E18" s="18"/>
      <c r="F18" s="18">
        <f t="shared" ref="F18:AI18" si="9">F17*F27</f>
        <v>2205248.5999999996</v>
      </c>
      <c r="G18" s="18">
        <f t="shared" si="9"/>
        <v>4538583.5999999996</v>
      </c>
      <c r="H18" s="18">
        <f t="shared" si="9"/>
        <v>6997371.5999999996</v>
      </c>
      <c r="I18" s="18">
        <f t="shared" si="9"/>
        <v>9673157.5999999996</v>
      </c>
      <c r="J18" s="18">
        <f t="shared" si="9"/>
        <v>12536402</v>
      </c>
      <c r="K18" s="18">
        <f t="shared" si="9"/>
        <v>15597276</v>
      </c>
      <c r="L18" s="18">
        <f t="shared" si="9"/>
        <v>17518845.5</v>
      </c>
      <c r="M18" s="18">
        <f t="shared" si="9"/>
        <v>18163523.300000001</v>
      </c>
      <c r="N18" s="18">
        <f t="shared" si="9"/>
        <v>18831924.800000001</v>
      </c>
      <c r="O18" s="18">
        <f t="shared" si="9"/>
        <v>19524922.300000001</v>
      </c>
      <c r="P18" s="18">
        <f t="shared" si="9"/>
        <v>20243421.900000002</v>
      </c>
      <c r="Q18" s="18">
        <f t="shared" si="9"/>
        <v>20988362.199999999</v>
      </c>
      <c r="R18" s="18">
        <f t="shared" si="9"/>
        <v>21760715.599999998</v>
      </c>
      <c r="S18" s="18">
        <f t="shared" si="9"/>
        <v>22561489.600000001</v>
      </c>
      <c r="T18" s="18">
        <f t="shared" si="9"/>
        <v>23391732</v>
      </c>
      <c r="U18" s="18">
        <f t="shared" si="9"/>
        <v>24252527</v>
      </c>
      <c r="V18" s="18">
        <f t="shared" si="9"/>
        <v>25144999.100000001</v>
      </c>
      <c r="W18" s="18">
        <f t="shared" si="9"/>
        <v>26070311.799999997</v>
      </c>
      <c r="X18" s="18">
        <f t="shared" si="9"/>
        <v>27029676.699999999</v>
      </c>
      <c r="Y18" s="18">
        <f t="shared" si="9"/>
        <v>28024344.400000002</v>
      </c>
      <c r="Z18" s="18">
        <f t="shared" si="9"/>
        <v>29055614.900000002</v>
      </c>
      <c r="AA18" s="18">
        <f t="shared" si="9"/>
        <v>30124835</v>
      </c>
      <c r="AB18" s="18">
        <f t="shared" si="9"/>
        <v>31233402.199999999</v>
      </c>
      <c r="AC18" s="18">
        <f t="shared" si="9"/>
        <v>32382763.399999999</v>
      </c>
      <c r="AD18" s="18">
        <f t="shared" si="9"/>
        <v>33574420.100000001</v>
      </c>
      <c r="AE18" s="18">
        <f t="shared" si="9"/>
        <v>34809928.399999999</v>
      </c>
      <c r="AF18" s="18">
        <f t="shared" si="9"/>
        <v>36090902.899999999</v>
      </c>
      <c r="AG18" s="18">
        <f t="shared" si="9"/>
        <v>37419016.700000003</v>
      </c>
      <c r="AH18" s="18">
        <f t="shared" si="9"/>
        <v>38796002.699999996</v>
      </c>
      <c r="AI18" s="18">
        <f t="shared" si="9"/>
        <v>40223660.100000001</v>
      </c>
    </row>
    <row r="19" spans="1:35" x14ac:dyDescent="0.25">
      <c r="A19" s="7" t="s">
        <v>131</v>
      </c>
      <c r="B19" t="s">
        <v>348</v>
      </c>
      <c r="C19" t="s">
        <v>144</v>
      </c>
      <c r="D19" s="17">
        <v>100</v>
      </c>
      <c r="E19" s="17"/>
      <c r="F19" s="17">
        <f>D19/10</f>
        <v>10</v>
      </c>
      <c r="G19" s="17">
        <f>F19+($D$19/10)</f>
        <v>20</v>
      </c>
      <c r="H19" s="17">
        <f>G19+($D$19-$G$19)/5</f>
        <v>36</v>
      </c>
      <c r="I19" s="17">
        <f t="shared" ref="I19:L19" si="10">H19+($D$19-$G$19)/5</f>
        <v>52</v>
      </c>
      <c r="J19" s="17">
        <f t="shared" si="10"/>
        <v>68</v>
      </c>
      <c r="K19" s="17">
        <f t="shared" si="10"/>
        <v>84</v>
      </c>
      <c r="L19" s="17">
        <f t="shared" si="10"/>
        <v>100</v>
      </c>
      <c r="M19" s="17">
        <f>L19</f>
        <v>100</v>
      </c>
      <c r="N19" s="17">
        <f t="shared" ref="N19:O19" si="11">M19</f>
        <v>100</v>
      </c>
      <c r="O19" s="17">
        <f t="shared" si="11"/>
        <v>100</v>
      </c>
      <c r="P19" s="17">
        <f>O19</f>
        <v>100</v>
      </c>
      <c r="Q19" s="17">
        <f t="shared" ref="Q19:AI19" si="12">P19</f>
        <v>100</v>
      </c>
      <c r="R19" s="17">
        <f t="shared" si="12"/>
        <v>100</v>
      </c>
      <c r="S19" s="17">
        <f t="shared" si="12"/>
        <v>100</v>
      </c>
      <c r="T19" s="17">
        <f t="shared" si="12"/>
        <v>100</v>
      </c>
      <c r="U19" s="17">
        <f t="shared" si="12"/>
        <v>100</v>
      </c>
      <c r="V19" s="17">
        <f t="shared" si="12"/>
        <v>100</v>
      </c>
      <c r="W19" s="17">
        <f t="shared" si="12"/>
        <v>100</v>
      </c>
      <c r="X19" s="17">
        <f t="shared" si="12"/>
        <v>100</v>
      </c>
      <c r="Y19" s="17">
        <f t="shared" si="12"/>
        <v>100</v>
      </c>
      <c r="Z19" s="17">
        <f t="shared" si="12"/>
        <v>100</v>
      </c>
      <c r="AA19" s="17">
        <f t="shared" si="12"/>
        <v>100</v>
      </c>
      <c r="AB19" s="17">
        <f t="shared" si="12"/>
        <v>100</v>
      </c>
      <c r="AC19" s="17">
        <f t="shared" si="12"/>
        <v>100</v>
      </c>
      <c r="AD19" s="17">
        <f t="shared" si="12"/>
        <v>100</v>
      </c>
      <c r="AE19" s="17">
        <f t="shared" si="12"/>
        <v>100</v>
      </c>
      <c r="AF19" s="17">
        <f t="shared" si="12"/>
        <v>100</v>
      </c>
      <c r="AG19" s="17">
        <f t="shared" si="12"/>
        <v>100</v>
      </c>
      <c r="AH19" s="17">
        <f t="shared" si="12"/>
        <v>100</v>
      </c>
      <c r="AI19" s="17">
        <f t="shared" si="12"/>
        <v>100</v>
      </c>
    </row>
    <row r="20" spans="1:35" x14ac:dyDescent="0.25">
      <c r="A20" s="7" t="s">
        <v>132</v>
      </c>
      <c r="B20" t="s">
        <v>186</v>
      </c>
      <c r="C20" t="s">
        <v>120</v>
      </c>
      <c r="D20" s="18">
        <f>NPV(0.05,F20:AI20)</f>
        <v>226225753.42719924</v>
      </c>
      <c r="E20" s="18"/>
      <c r="F20" s="18">
        <f t="shared" ref="F20:AI20" si="13">F19*F27</f>
        <v>1102624.2999999998</v>
      </c>
      <c r="G20" s="18">
        <f t="shared" si="13"/>
        <v>2269291.7999999998</v>
      </c>
      <c r="H20" s="18">
        <f t="shared" si="13"/>
        <v>4198422.96</v>
      </c>
      <c r="I20" s="18">
        <f t="shared" si="13"/>
        <v>6287552.4400000004</v>
      </c>
      <c r="J20" s="18">
        <f t="shared" si="13"/>
        <v>8524753.3599999994</v>
      </c>
      <c r="K20" s="18">
        <f t="shared" si="13"/>
        <v>10918093.200000001</v>
      </c>
      <c r="L20" s="18">
        <f t="shared" si="13"/>
        <v>13476035</v>
      </c>
      <c r="M20" s="18">
        <f t="shared" si="13"/>
        <v>13971941</v>
      </c>
      <c r="N20" s="18">
        <f t="shared" si="13"/>
        <v>14486096</v>
      </c>
      <c r="O20" s="18">
        <f t="shared" si="13"/>
        <v>15019171</v>
      </c>
      <c r="P20" s="18">
        <f t="shared" si="13"/>
        <v>15571863</v>
      </c>
      <c r="Q20" s="18">
        <f t="shared" si="13"/>
        <v>16144894</v>
      </c>
      <c r="R20" s="18">
        <f t="shared" si="13"/>
        <v>16739012</v>
      </c>
      <c r="S20" s="18">
        <f t="shared" si="13"/>
        <v>17354992</v>
      </c>
      <c r="T20" s="18">
        <f t="shared" si="13"/>
        <v>17993640</v>
      </c>
      <c r="U20" s="18">
        <f t="shared" si="13"/>
        <v>18655790</v>
      </c>
      <c r="V20" s="18">
        <f t="shared" si="13"/>
        <v>19342307</v>
      </c>
      <c r="W20" s="18">
        <f t="shared" si="13"/>
        <v>20054086</v>
      </c>
      <c r="X20" s="18">
        <f t="shared" si="13"/>
        <v>20792059</v>
      </c>
      <c r="Y20" s="18">
        <f t="shared" si="13"/>
        <v>21557188</v>
      </c>
      <c r="Z20" s="18">
        <f t="shared" si="13"/>
        <v>22350473</v>
      </c>
      <c r="AA20" s="18">
        <f t="shared" si="13"/>
        <v>23172950</v>
      </c>
      <c r="AB20" s="18">
        <f t="shared" si="13"/>
        <v>24025694</v>
      </c>
      <c r="AC20" s="18">
        <f t="shared" si="13"/>
        <v>24909818</v>
      </c>
      <c r="AD20" s="18">
        <f t="shared" si="13"/>
        <v>25826477</v>
      </c>
      <c r="AE20" s="18">
        <f t="shared" si="13"/>
        <v>26776868</v>
      </c>
      <c r="AF20" s="18">
        <f t="shared" si="13"/>
        <v>27762233</v>
      </c>
      <c r="AG20" s="18">
        <f t="shared" si="13"/>
        <v>28783859.000000004</v>
      </c>
      <c r="AH20" s="18">
        <f t="shared" si="13"/>
        <v>29843078.999999996</v>
      </c>
      <c r="AI20" s="18">
        <f t="shared" si="13"/>
        <v>30941277</v>
      </c>
    </row>
    <row r="21" spans="1:35" x14ac:dyDescent="0.25">
      <c r="A21" s="7" t="s">
        <v>133</v>
      </c>
      <c r="B21" t="s">
        <v>344</v>
      </c>
      <c r="C21" t="s">
        <v>144</v>
      </c>
      <c r="D21" s="17">
        <v>8</v>
      </c>
      <c r="E21" s="17"/>
      <c r="F21" s="17">
        <v>1</v>
      </c>
      <c r="G21" s="17">
        <v>1</v>
      </c>
      <c r="H21" s="17">
        <v>1</v>
      </c>
      <c r="I21" s="17">
        <v>1</v>
      </c>
      <c r="J21" s="17">
        <v>2</v>
      </c>
      <c r="K21" s="17">
        <v>1</v>
      </c>
      <c r="L21" s="17">
        <v>1</v>
      </c>
      <c r="M21" s="17"/>
      <c r="N21" s="17"/>
      <c r="O21" s="17"/>
      <c r="P21" s="17"/>
      <c r="Q21" s="17"/>
      <c r="R21" s="17"/>
      <c r="S21" s="17"/>
      <c r="T21" s="17"/>
      <c r="U21" s="17"/>
      <c r="V21" s="17"/>
      <c r="W21" s="17"/>
      <c r="X21" s="17"/>
      <c r="Y21" s="17"/>
      <c r="Z21" s="17"/>
      <c r="AA21" s="17"/>
      <c r="AB21" s="17"/>
      <c r="AC21" s="17"/>
      <c r="AD21" s="17"/>
      <c r="AE21" s="17"/>
      <c r="AF21" s="17"/>
      <c r="AG21" s="17"/>
      <c r="AH21" s="17"/>
      <c r="AI21" s="17"/>
    </row>
    <row r="22" spans="1:35" x14ac:dyDescent="0.25">
      <c r="A22" s="7" t="s">
        <v>134</v>
      </c>
      <c r="B22" t="s">
        <v>343</v>
      </c>
      <c r="C22" t="s">
        <v>120</v>
      </c>
      <c r="D22" s="18">
        <f>NPV(0.05,F22:AI22)</f>
        <v>552778.65781940345</v>
      </c>
      <c r="E22" s="18"/>
      <c r="F22" s="18">
        <f>F21*F28</f>
        <v>78792.179999999993</v>
      </c>
      <c r="G22" s="18">
        <f t="shared" ref="G22:L22" si="14">G21*G28</f>
        <v>80260.03</v>
      </c>
      <c r="H22" s="18">
        <f t="shared" si="14"/>
        <v>81505</v>
      </c>
      <c r="I22" s="18">
        <f t="shared" si="14"/>
        <v>83772.75</v>
      </c>
      <c r="J22" s="18">
        <f t="shared" si="14"/>
        <v>172207.2</v>
      </c>
      <c r="K22" s="18">
        <f t="shared" si="14"/>
        <v>88499.3</v>
      </c>
      <c r="L22" s="18">
        <f t="shared" si="14"/>
        <v>90961.66</v>
      </c>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5" x14ac:dyDescent="0.25">
      <c r="A23" s="7" t="s">
        <v>133</v>
      </c>
      <c r="B23" t="s">
        <v>345</v>
      </c>
      <c r="C23" t="s">
        <v>144</v>
      </c>
      <c r="D23" s="17">
        <f>D21*0.8</f>
        <v>6.4</v>
      </c>
      <c r="E23" s="17"/>
      <c r="F23" s="17">
        <v>0</v>
      </c>
      <c r="G23" s="17">
        <v>1</v>
      </c>
      <c r="H23" s="17">
        <v>1</v>
      </c>
      <c r="I23" s="17">
        <v>1</v>
      </c>
      <c r="J23" s="17">
        <v>1</v>
      </c>
      <c r="K23" s="17">
        <v>1</v>
      </c>
      <c r="L23" s="17">
        <v>1</v>
      </c>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1:35" x14ac:dyDescent="0.25">
      <c r="A24" s="7" t="s">
        <v>134</v>
      </c>
      <c r="B24" t="s">
        <v>346</v>
      </c>
      <c r="C24" t="s">
        <v>120</v>
      </c>
      <c r="D24" s="18">
        <f>NPV(0.05,F24:AI24)</f>
        <v>594124.29017831164</v>
      </c>
      <c r="E24" s="18"/>
      <c r="F24" s="18">
        <f>F23*F27</f>
        <v>0</v>
      </c>
      <c r="G24" s="18">
        <f t="shared" ref="G24:L24" si="15">G23*G27</f>
        <v>113464.59</v>
      </c>
      <c r="H24" s="18">
        <f t="shared" si="15"/>
        <v>116622.86</v>
      </c>
      <c r="I24" s="18">
        <f t="shared" si="15"/>
        <v>120914.47</v>
      </c>
      <c r="J24" s="18">
        <f t="shared" si="15"/>
        <v>125364.02</v>
      </c>
      <c r="K24" s="18">
        <f t="shared" si="15"/>
        <v>129977.3</v>
      </c>
      <c r="L24" s="18">
        <f t="shared" si="15"/>
        <v>134760.35</v>
      </c>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s="7" customFormat="1" x14ac:dyDescent="0.25">
      <c r="D25" s="27"/>
      <c r="E25" s="27"/>
      <c r="F25" s="27"/>
      <c r="G25" s="27"/>
      <c r="H25" s="27"/>
      <c r="I25" s="27"/>
      <c r="J25" s="27"/>
      <c r="K25" s="27"/>
      <c r="L25" s="27"/>
      <c r="M25" s="27"/>
      <c r="N25" s="27"/>
      <c r="O25" s="27"/>
      <c r="P25" s="27"/>
      <c r="Q25" s="27"/>
      <c r="R25" s="27"/>
      <c r="S25" s="27"/>
      <c r="T25" s="27"/>
      <c r="U25" s="27"/>
    </row>
    <row r="26" spans="1:35" x14ac:dyDescent="0.25">
      <c r="A26" s="2" t="s">
        <v>147</v>
      </c>
      <c r="B26" s="2" t="s">
        <v>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x14ac:dyDescent="0.25">
      <c r="A27" s="7" t="s">
        <v>148</v>
      </c>
      <c r="B27" t="s">
        <v>11</v>
      </c>
      <c r="C27" t="s">
        <v>120</v>
      </c>
      <c r="D27" s="19"/>
      <c r="E27" s="17">
        <v>106257.2</v>
      </c>
      <c r="F27" s="17">
        <v>110262.43</v>
      </c>
      <c r="G27" s="17">
        <v>113464.59</v>
      </c>
      <c r="H27" s="17">
        <v>116622.86</v>
      </c>
      <c r="I27" s="17">
        <v>120914.47</v>
      </c>
      <c r="J27" s="17">
        <v>125364.02</v>
      </c>
      <c r="K27" s="17">
        <v>129977.3</v>
      </c>
      <c r="L27" s="17">
        <v>134760.35</v>
      </c>
      <c r="M27" s="17">
        <v>139719.41</v>
      </c>
      <c r="N27" s="17">
        <v>144860.96</v>
      </c>
      <c r="O27" s="17">
        <v>150191.71</v>
      </c>
      <c r="P27" s="17">
        <v>155718.63</v>
      </c>
      <c r="Q27" s="17">
        <v>161448.94</v>
      </c>
      <c r="R27" s="17">
        <v>167390.12</v>
      </c>
      <c r="S27" s="17">
        <v>173549.92</v>
      </c>
      <c r="T27" s="17">
        <v>179936.4</v>
      </c>
      <c r="U27" s="17">
        <v>186557.9</v>
      </c>
      <c r="V27" s="17">
        <v>193423.07</v>
      </c>
      <c r="W27" s="17">
        <v>200540.86</v>
      </c>
      <c r="X27" s="17">
        <v>207920.59</v>
      </c>
      <c r="Y27" s="17">
        <v>215571.88</v>
      </c>
      <c r="Z27" s="17">
        <v>223504.73</v>
      </c>
      <c r="AA27" s="17">
        <v>231729.5</v>
      </c>
      <c r="AB27" s="17">
        <v>240256.94</v>
      </c>
      <c r="AC27" s="17">
        <v>249098.18</v>
      </c>
      <c r="AD27" s="17">
        <v>258264.77</v>
      </c>
      <c r="AE27" s="17">
        <v>267768.68</v>
      </c>
      <c r="AF27" s="17">
        <v>277622.33</v>
      </c>
      <c r="AG27" s="17">
        <v>287838.59000000003</v>
      </c>
      <c r="AH27" s="17">
        <v>298430.78999999998</v>
      </c>
      <c r="AI27" s="17">
        <v>309412.77</v>
      </c>
    </row>
    <row r="28" spans="1:35" x14ac:dyDescent="0.25">
      <c r="A28" s="7" t="s">
        <v>149</v>
      </c>
      <c r="B28" t="s">
        <v>8</v>
      </c>
      <c r="C28" t="s">
        <v>120</v>
      </c>
      <c r="D28" s="19"/>
      <c r="E28" s="17">
        <v>76964.649999999994</v>
      </c>
      <c r="F28" s="17">
        <v>78792.179999999993</v>
      </c>
      <c r="G28" s="17">
        <v>80260.03</v>
      </c>
      <c r="H28" s="17">
        <v>81505</v>
      </c>
      <c r="I28" s="17">
        <v>83772.75</v>
      </c>
      <c r="J28" s="17">
        <v>86103.6</v>
      </c>
      <c r="K28" s="17">
        <v>88499.3</v>
      </c>
      <c r="L28" s="17">
        <v>90961.66</v>
      </c>
      <c r="M28" s="17">
        <v>93492.53</v>
      </c>
      <c r="N28" s="17">
        <v>96093.82</v>
      </c>
      <c r="O28" s="17">
        <v>98767.49</v>
      </c>
      <c r="P28" s="17">
        <v>101515.55</v>
      </c>
      <c r="Q28" s="17">
        <v>104340.06</v>
      </c>
      <c r="R28" s="17">
        <v>107243.17</v>
      </c>
      <c r="S28" s="17">
        <v>110227.05</v>
      </c>
      <c r="T28" s="17">
        <v>113293.95</v>
      </c>
      <c r="U28" s="17">
        <v>116446.18</v>
      </c>
      <c r="V28" s="17">
        <v>119686.12</v>
      </c>
      <c r="W28" s="17">
        <v>123016.21</v>
      </c>
      <c r="X28" s="17">
        <v>126438.95</v>
      </c>
      <c r="Y28" s="17">
        <v>129956.93</v>
      </c>
      <c r="Z28" s="17">
        <v>133572.78</v>
      </c>
      <c r="AA28" s="17">
        <v>137289.24</v>
      </c>
      <c r="AB28" s="17">
        <v>141109.10999999999</v>
      </c>
      <c r="AC28" s="17">
        <v>145035.26</v>
      </c>
      <c r="AD28" s="17">
        <v>149070.65</v>
      </c>
      <c r="AE28" s="17">
        <v>153218.31</v>
      </c>
      <c r="AF28" s="17">
        <v>157481.38</v>
      </c>
      <c r="AG28" s="17">
        <v>161863.06</v>
      </c>
      <c r="AH28" s="17">
        <v>166366.66</v>
      </c>
      <c r="AI28" s="17">
        <v>170995.56</v>
      </c>
    </row>
    <row r="30" spans="1:35" x14ac:dyDescent="0.25">
      <c r="A30" s="2" t="s">
        <v>155</v>
      </c>
      <c r="B30" s="36" t="s">
        <v>277</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25">
      <c r="A31" t="s">
        <v>156</v>
      </c>
      <c r="B31" t="s">
        <v>79</v>
      </c>
      <c r="C31" s="7"/>
    </row>
    <row r="32" spans="1:35" x14ac:dyDescent="0.25">
      <c r="C32" s="7"/>
    </row>
    <row r="33" spans="3:24" x14ac:dyDescent="0.25">
      <c r="C33" s="7"/>
      <c r="X33" t="s">
        <v>184</v>
      </c>
    </row>
  </sheetData>
  <mergeCells count="5">
    <mergeCell ref="B2:B3"/>
    <mergeCell ref="D2:D3"/>
    <mergeCell ref="A1:A3"/>
    <mergeCell ref="C2:C3"/>
    <mergeCell ref="F1:AI1"/>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A09D-EA17-46B8-BD1B-5D42C1D71DAA}">
  <sheetPr codeName="Sheet8">
    <tabColor theme="9" tint="0.79998168889431442"/>
  </sheetPr>
  <dimension ref="A1:U43"/>
  <sheetViews>
    <sheetView tabSelected="1" topLeftCell="A4" workbookViewId="0">
      <selection activeCell="C26" sqref="C26"/>
    </sheetView>
  </sheetViews>
  <sheetFormatPr defaultRowHeight="15" x14ac:dyDescent="0.25"/>
  <cols>
    <col min="2" max="2" width="111.28515625" customWidth="1"/>
    <col min="3" max="3" width="11.5703125" customWidth="1"/>
    <col min="4" max="4" width="12.28515625" customWidth="1"/>
    <col min="5" max="5" width="12.85546875" customWidth="1"/>
    <col min="7" max="10" width="9.85546875" bestFit="1" customWidth="1"/>
    <col min="11" max="17" width="10.85546875" bestFit="1" customWidth="1"/>
    <col min="18" max="18" width="11.140625" customWidth="1"/>
    <col min="19" max="21" width="9.85546875" bestFit="1" customWidth="1"/>
  </cols>
  <sheetData>
    <row r="1" spans="1:21" ht="17.25" customHeight="1" x14ac:dyDescent="0.25">
      <c r="A1" s="42" t="s">
        <v>117</v>
      </c>
      <c r="B1" s="15" t="s">
        <v>102</v>
      </c>
      <c r="C1" s="15" t="s">
        <v>118</v>
      </c>
      <c r="D1" s="15"/>
      <c r="E1" s="15"/>
      <c r="F1" s="42" t="s">
        <v>5</v>
      </c>
      <c r="G1" s="42"/>
      <c r="H1" s="42"/>
      <c r="I1" s="42"/>
      <c r="J1" s="42"/>
      <c r="K1" s="42"/>
      <c r="L1" s="42"/>
      <c r="M1" s="42"/>
      <c r="N1" s="42"/>
      <c r="O1" s="42"/>
      <c r="P1" s="42"/>
      <c r="Q1" s="42"/>
      <c r="R1" s="42"/>
      <c r="S1" s="42"/>
      <c r="T1" s="42"/>
      <c r="U1" s="42"/>
    </row>
    <row r="2" spans="1:21"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row>
    <row r="3" spans="1:21"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row>
    <row r="4" spans="1:21" x14ac:dyDescent="0.25">
      <c r="A4" t="s">
        <v>115</v>
      </c>
      <c r="B4" t="s">
        <v>313</v>
      </c>
      <c r="C4" t="s">
        <v>120</v>
      </c>
      <c r="D4" s="18">
        <f>E4+NPV(0.05,F4:L4)</f>
        <v>47762134.596500672</v>
      </c>
      <c r="E4" s="18">
        <f>56303574/8</f>
        <v>7037946.75</v>
      </c>
      <c r="F4" s="18">
        <f t="shared" ref="F4:L4" si="0">56303574/8</f>
        <v>7037946.75</v>
      </c>
      <c r="G4" s="18">
        <f t="shared" si="0"/>
        <v>7037946.75</v>
      </c>
      <c r="H4" s="18">
        <f t="shared" si="0"/>
        <v>7037946.75</v>
      </c>
      <c r="I4" s="18">
        <f t="shared" si="0"/>
        <v>7037946.75</v>
      </c>
      <c r="J4" s="18">
        <f t="shared" si="0"/>
        <v>7037946.75</v>
      </c>
      <c r="K4" s="18">
        <f t="shared" si="0"/>
        <v>7037946.75</v>
      </c>
      <c r="L4" s="18">
        <f t="shared" si="0"/>
        <v>7037946.75</v>
      </c>
      <c r="M4" s="22"/>
      <c r="N4" s="22"/>
      <c r="O4" s="22"/>
      <c r="P4" s="22"/>
      <c r="Q4" s="22"/>
      <c r="R4" s="22"/>
      <c r="S4" s="22"/>
      <c r="T4" s="22"/>
      <c r="U4" s="22"/>
    </row>
    <row r="5" spans="1:21" x14ac:dyDescent="0.25">
      <c r="A5" t="s">
        <v>161</v>
      </c>
      <c r="B5" t="s">
        <v>310</v>
      </c>
      <c r="C5" t="s">
        <v>120</v>
      </c>
      <c r="D5" s="18">
        <f>SUM(D14:D15)</f>
        <v>868009275.80737174</v>
      </c>
      <c r="E5" s="18">
        <f t="shared" ref="E5:U5" si="1">SUM(E14:E15)</f>
        <v>0</v>
      </c>
      <c r="F5" s="18">
        <f t="shared" si="1"/>
        <v>7361310.1564597031</v>
      </c>
      <c r="G5" s="18">
        <f t="shared" si="1"/>
        <v>15239147.792811584</v>
      </c>
      <c r="H5" s="18">
        <f t="shared" si="1"/>
        <v>33523785.033845261</v>
      </c>
      <c r="I5" s="18">
        <f t="shared" si="1"/>
        <v>53491909.053393722</v>
      </c>
      <c r="J5" s="18">
        <f t="shared" si="1"/>
        <v>75111075.40192464</v>
      </c>
      <c r="K5" s="18">
        <f t="shared" si="1"/>
        <v>98485706.246339276</v>
      </c>
      <c r="L5" s="18">
        <f t="shared" si="1"/>
        <v>123726565.35378119</v>
      </c>
      <c r="M5" s="18">
        <f t="shared" si="1"/>
        <v>129031465.2110277</v>
      </c>
      <c r="N5" s="18">
        <f t="shared" si="1"/>
        <v>134563008.61303884</v>
      </c>
      <c r="O5" s="18">
        <f t="shared" si="1"/>
        <v>140331222.81641755</v>
      </c>
      <c r="P5" s="18">
        <f t="shared" si="1"/>
        <v>135324210.31419331</v>
      </c>
      <c r="Q5" s="18">
        <f t="shared" si="1"/>
        <v>129629333.91222958</v>
      </c>
      <c r="R5" s="18">
        <f t="shared" si="1"/>
        <v>108146885.86761574</v>
      </c>
      <c r="S5" s="18">
        <f t="shared" si="1"/>
        <v>84585133.150172397</v>
      </c>
      <c r="T5" s="18">
        <f t="shared" si="1"/>
        <v>58805537.151544094</v>
      </c>
      <c r="U5" s="18">
        <f t="shared" si="1"/>
        <v>30661938.258202758</v>
      </c>
    </row>
    <row r="6" spans="1:21" x14ac:dyDescent="0.25">
      <c r="A6" t="s">
        <v>162</v>
      </c>
      <c r="B6" t="s">
        <v>311</v>
      </c>
      <c r="C6" t="s">
        <v>120</v>
      </c>
      <c r="D6" s="18">
        <f>NPV(0.05,F6:U6)</f>
        <v>434004637.90368587</v>
      </c>
      <c r="E6" s="18"/>
      <c r="F6" s="18">
        <f>F19*0.5+F27*0.5+F29*0.5</f>
        <v>3680655.0782298516</v>
      </c>
      <c r="G6" s="18">
        <f t="shared" ref="G6:U6" si="2">G19*0.5+G27*0.5+G29*0.5</f>
        <v>7619573.8964057919</v>
      </c>
      <c r="H6" s="18">
        <f t="shared" si="2"/>
        <v>16761892.51692263</v>
      </c>
      <c r="I6" s="18">
        <f t="shared" si="2"/>
        <v>26745954.526696861</v>
      </c>
      <c r="J6" s="18">
        <f t="shared" si="2"/>
        <v>37555537.70096232</v>
      </c>
      <c r="K6" s="18">
        <f t="shared" si="2"/>
        <v>49242853.123169631</v>
      </c>
      <c r="L6" s="18">
        <f t="shared" si="2"/>
        <v>61863282.676890597</v>
      </c>
      <c r="M6" s="18">
        <f t="shared" si="2"/>
        <v>64515732.605513848</v>
      </c>
      <c r="N6" s="18">
        <f t="shared" si="2"/>
        <v>67281504.306519419</v>
      </c>
      <c r="O6" s="18">
        <f t="shared" si="2"/>
        <v>70165611.408208758</v>
      </c>
      <c r="P6" s="18">
        <f t="shared" si="2"/>
        <v>67662105.157096654</v>
      </c>
      <c r="Q6" s="18">
        <f t="shared" si="2"/>
        <v>64814666.956114791</v>
      </c>
      <c r="R6" s="18">
        <f t="shared" si="2"/>
        <v>54073442.933807872</v>
      </c>
      <c r="S6" s="18">
        <f t="shared" si="2"/>
        <v>42292566.575086199</v>
      </c>
      <c r="T6" s="18">
        <f t="shared" si="2"/>
        <v>29402768.575772043</v>
      </c>
      <c r="U6" s="18">
        <f t="shared" si="2"/>
        <v>15330969.129101379</v>
      </c>
    </row>
    <row r="7" spans="1:21" x14ac:dyDescent="0.25">
      <c r="A7" t="s">
        <v>164</v>
      </c>
      <c r="B7" t="s">
        <v>312</v>
      </c>
      <c r="C7" t="s">
        <v>120</v>
      </c>
      <c r="D7" s="18">
        <f>NPV(0.05,F7:U7)</f>
        <v>694407420.64589751</v>
      </c>
      <c r="E7" s="18"/>
      <c r="F7" s="18">
        <f>F5*0.8</f>
        <v>5889048.1251677629</v>
      </c>
      <c r="G7" s="18">
        <f t="shared" ref="G7:U7" si="3">G5*0.8</f>
        <v>12191318.234249268</v>
      </c>
      <c r="H7" s="18">
        <f t="shared" si="3"/>
        <v>26819028.027076211</v>
      </c>
      <c r="I7" s="18">
        <f t="shared" si="3"/>
        <v>42793527.242714979</v>
      </c>
      <c r="J7" s="18">
        <f t="shared" si="3"/>
        <v>60088860.321539715</v>
      </c>
      <c r="K7" s="18">
        <f t="shared" si="3"/>
        <v>78788564.99707143</v>
      </c>
      <c r="L7" s="18">
        <f t="shared" si="3"/>
        <v>98981252.283024967</v>
      </c>
      <c r="M7" s="18">
        <f t="shared" si="3"/>
        <v>103225172.16882217</v>
      </c>
      <c r="N7" s="18">
        <f t="shared" si="3"/>
        <v>107650406.89043108</v>
      </c>
      <c r="O7" s="18">
        <f t="shared" si="3"/>
        <v>112264978.25313404</v>
      </c>
      <c r="P7" s="18">
        <f t="shared" si="3"/>
        <v>108259368.25135465</v>
      </c>
      <c r="Q7" s="18">
        <f t="shared" si="3"/>
        <v>103703467.12978368</v>
      </c>
      <c r="R7" s="18">
        <f t="shared" si="3"/>
        <v>86517508.694092602</v>
      </c>
      <c r="S7" s="18">
        <f t="shared" si="3"/>
        <v>67668106.520137921</v>
      </c>
      <c r="T7" s="18">
        <f t="shared" si="3"/>
        <v>47044429.721235275</v>
      </c>
      <c r="U7" s="18">
        <f t="shared" si="3"/>
        <v>24529550.606562208</v>
      </c>
    </row>
    <row r="8" spans="1:21" x14ac:dyDescent="0.25">
      <c r="M8" s="3"/>
      <c r="N8" s="3"/>
      <c r="O8" s="3"/>
      <c r="P8" s="3"/>
      <c r="Q8" s="3"/>
      <c r="R8" s="3"/>
      <c r="S8" s="3"/>
      <c r="T8" s="3"/>
      <c r="U8" s="3"/>
    </row>
    <row r="9" spans="1:21" x14ac:dyDescent="0.25">
      <c r="A9" t="s">
        <v>121</v>
      </c>
      <c r="B9" t="s">
        <v>178</v>
      </c>
      <c r="C9" t="s">
        <v>120</v>
      </c>
      <c r="D9" s="20">
        <f>D5-D4</f>
        <v>820247141.2108711</v>
      </c>
    </row>
    <row r="10" spans="1:21" x14ac:dyDescent="0.25">
      <c r="A10" t="s">
        <v>244</v>
      </c>
      <c r="B10" t="s">
        <v>247</v>
      </c>
      <c r="C10" t="s">
        <v>126</v>
      </c>
      <c r="D10" s="21">
        <f>D5/D4</f>
        <v>18.173586317705471</v>
      </c>
    </row>
    <row r="11" spans="1:21" x14ac:dyDescent="0.25">
      <c r="A11" t="s">
        <v>245</v>
      </c>
      <c r="B11" t="s">
        <v>248</v>
      </c>
      <c r="C11" t="s">
        <v>126</v>
      </c>
      <c r="D11" s="21">
        <f>D6/D4*0.8</f>
        <v>7.269434527082189</v>
      </c>
    </row>
    <row r="12" spans="1:21" x14ac:dyDescent="0.25">
      <c r="A12" t="s">
        <v>246</v>
      </c>
      <c r="B12" t="s">
        <v>249</v>
      </c>
      <c r="C12" t="s">
        <v>126</v>
      </c>
      <c r="D12" s="21">
        <f>D7/D4</f>
        <v>14.53886905416438</v>
      </c>
    </row>
    <row r="14" spans="1:21" x14ac:dyDescent="0.25">
      <c r="A14" t="s">
        <v>122</v>
      </c>
      <c r="B14" t="s">
        <v>124</v>
      </c>
      <c r="C14" t="s">
        <v>120</v>
      </c>
      <c r="D14" s="18">
        <f>SUM(E14:U14)</f>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row>
    <row r="15" spans="1:21" x14ac:dyDescent="0.25">
      <c r="A15" t="s">
        <v>123</v>
      </c>
      <c r="B15" t="s">
        <v>125</v>
      </c>
      <c r="C15" t="s">
        <v>120</v>
      </c>
      <c r="D15" s="18">
        <f>SUM(D17,D21)</f>
        <v>868009275.80737174</v>
      </c>
      <c r="E15" s="18">
        <f t="shared" ref="E15:U15" si="4">SUM(E17,E21)</f>
        <v>0</v>
      </c>
      <c r="F15" s="18">
        <f t="shared" si="4"/>
        <v>7361310.1564597031</v>
      </c>
      <c r="G15" s="18">
        <f t="shared" si="4"/>
        <v>15239147.792811584</v>
      </c>
      <c r="H15" s="18">
        <f t="shared" si="4"/>
        <v>33523785.033845261</v>
      </c>
      <c r="I15" s="18">
        <f t="shared" si="4"/>
        <v>53491909.053393722</v>
      </c>
      <c r="J15" s="18">
        <f t="shared" si="4"/>
        <v>75111075.40192464</v>
      </c>
      <c r="K15" s="18">
        <f t="shared" si="4"/>
        <v>98485706.246339276</v>
      </c>
      <c r="L15" s="18">
        <f t="shared" si="4"/>
        <v>123726565.35378119</v>
      </c>
      <c r="M15" s="18">
        <f t="shared" si="4"/>
        <v>129031465.2110277</v>
      </c>
      <c r="N15" s="18">
        <f t="shared" si="4"/>
        <v>134563008.61303884</v>
      </c>
      <c r="O15" s="18">
        <f t="shared" si="4"/>
        <v>140331222.81641755</v>
      </c>
      <c r="P15" s="18">
        <f t="shared" si="4"/>
        <v>135324210.31419331</v>
      </c>
      <c r="Q15" s="18">
        <f t="shared" si="4"/>
        <v>129629333.91222958</v>
      </c>
      <c r="R15" s="18">
        <f t="shared" si="4"/>
        <v>108146885.86761574</v>
      </c>
      <c r="S15" s="18">
        <f t="shared" si="4"/>
        <v>84585133.150172397</v>
      </c>
      <c r="T15" s="18">
        <f t="shared" si="4"/>
        <v>58805537.151544094</v>
      </c>
      <c r="U15" s="18">
        <f t="shared" si="4"/>
        <v>30661938.258202758</v>
      </c>
    </row>
    <row r="17" spans="1:21" x14ac:dyDescent="0.25">
      <c r="A17" s="2" t="s">
        <v>127</v>
      </c>
      <c r="B17" s="2" t="s">
        <v>242</v>
      </c>
      <c r="C17" s="2"/>
      <c r="D17" s="23">
        <f>D19</f>
        <v>128543194.37443097</v>
      </c>
      <c r="E17" s="23">
        <f t="shared" ref="E17:U17" si="5">E19</f>
        <v>0</v>
      </c>
      <c r="F17" s="23">
        <f t="shared" si="5"/>
        <v>1141382.3399999999</v>
      </c>
      <c r="G17" s="23">
        <f t="shared" si="5"/>
        <v>2349058.3200000003</v>
      </c>
      <c r="H17" s="23">
        <f t="shared" si="5"/>
        <v>5137401.9059999995</v>
      </c>
      <c r="I17" s="23">
        <f t="shared" si="5"/>
        <v>8149611.5820000004</v>
      </c>
      <c r="J17" s="23">
        <f t="shared" si="5"/>
        <v>11376561.807</v>
      </c>
      <c r="K17" s="23">
        <f t="shared" si="5"/>
        <v>14829970.464000002</v>
      </c>
      <c r="L17" s="23">
        <f t="shared" si="5"/>
        <v>18522131.940000001</v>
      </c>
      <c r="M17" s="23">
        <f t="shared" si="5"/>
        <v>19203730.065000001</v>
      </c>
      <c r="N17" s="23">
        <f t="shared" si="5"/>
        <v>19910419.604999997</v>
      </c>
      <c r="O17" s="23">
        <f t="shared" si="5"/>
        <v>20643103.979999997</v>
      </c>
      <c r="P17" s="23">
        <f t="shared" si="5"/>
        <v>19790828.460000001</v>
      </c>
      <c r="Q17" s="23">
        <f t="shared" si="5"/>
        <v>18847870.965</v>
      </c>
      <c r="R17" s="23">
        <f t="shared" si="5"/>
        <v>15633163.979999999</v>
      </c>
      <c r="S17" s="23">
        <f t="shared" si="5"/>
        <v>12156337.304999998</v>
      </c>
      <c r="T17" s="23">
        <f t="shared" si="5"/>
        <v>8402453.3880000003</v>
      </c>
      <c r="U17" s="23">
        <f t="shared" si="5"/>
        <v>4355827.4339999994</v>
      </c>
    </row>
    <row r="18" spans="1:21" ht="15" customHeight="1" x14ac:dyDescent="0.25">
      <c r="A18" t="s">
        <v>129</v>
      </c>
      <c r="B18" t="s">
        <v>187</v>
      </c>
      <c r="C18" t="s">
        <v>144</v>
      </c>
      <c r="D18" s="17">
        <v>7170</v>
      </c>
      <c r="E18" s="17"/>
      <c r="F18" s="17">
        <v>540</v>
      </c>
      <c r="G18" s="17">
        <v>1080</v>
      </c>
      <c r="H18" s="17">
        <v>2298</v>
      </c>
      <c r="I18" s="17">
        <v>3516</v>
      </c>
      <c r="J18" s="17">
        <v>4734</v>
      </c>
      <c r="K18" s="17">
        <v>5952</v>
      </c>
      <c r="L18" s="17">
        <v>7170</v>
      </c>
      <c r="M18" s="17">
        <v>7170</v>
      </c>
      <c r="N18" s="17">
        <v>7170</v>
      </c>
      <c r="O18" s="17">
        <v>7170</v>
      </c>
      <c r="P18" s="17">
        <v>6630</v>
      </c>
      <c r="Q18" s="17">
        <v>6090</v>
      </c>
      <c r="R18" s="17">
        <v>4872</v>
      </c>
      <c r="S18" s="17">
        <v>3654</v>
      </c>
      <c r="T18" s="17">
        <v>2436</v>
      </c>
      <c r="U18" s="17">
        <v>1218</v>
      </c>
    </row>
    <row r="19" spans="1:21" x14ac:dyDescent="0.25">
      <c r="A19" t="s">
        <v>130</v>
      </c>
      <c r="B19" t="s">
        <v>188</v>
      </c>
      <c r="C19" t="s">
        <v>120</v>
      </c>
      <c r="D19" s="18">
        <f>NPV(0.05,F19:U19)</f>
        <v>128543194.37443097</v>
      </c>
      <c r="E19" s="18"/>
      <c r="F19" s="18">
        <f t="shared" ref="F19:U19" si="6">F18*F33</f>
        <v>1141382.3399999999</v>
      </c>
      <c r="G19" s="18">
        <f t="shared" si="6"/>
        <v>2349058.3200000003</v>
      </c>
      <c r="H19" s="18">
        <f t="shared" si="6"/>
        <v>5137401.9059999995</v>
      </c>
      <c r="I19" s="18">
        <f t="shared" si="6"/>
        <v>8149611.5820000004</v>
      </c>
      <c r="J19" s="18">
        <f t="shared" si="6"/>
        <v>11376561.807</v>
      </c>
      <c r="K19" s="18">
        <f t="shared" si="6"/>
        <v>14829970.464000002</v>
      </c>
      <c r="L19" s="18">
        <f t="shared" si="6"/>
        <v>18522131.940000001</v>
      </c>
      <c r="M19" s="18">
        <f t="shared" si="6"/>
        <v>19203730.065000001</v>
      </c>
      <c r="N19" s="18">
        <f t="shared" si="6"/>
        <v>19910419.604999997</v>
      </c>
      <c r="O19" s="18">
        <f t="shared" si="6"/>
        <v>20643103.979999997</v>
      </c>
      <c r="P19" s="18">
        <f t="shared" si="6"/>
        <v>19790828.460000001</v>
      </c>
      <c r="Q19" s="18">
        <f t="shared" si="6"/>
        <v>18847870.965</v>
      </c>
      <c r="R19" s="18">
        <f t="shared" si="6"/>
        <v>15633163.979999999</v>
      </c>
      <c r="S19" s="18">
        <f t="shared" si="6"/>
        <v>12156337.304999998</v>
      </c>
      <c r="T19" s="18">
        <f t="shared" si="6"/>
        <v>8402453.3880000003</v>
      </c>
      <c r="U19" s="18">
        <f t="shared" si="6"/>
        <v>4355827.4339999994</v>
      </c>
    </row>
    <row r="20" spans="1:21" x14ac:dyDescent="0.25">
      <c r="A20" s="7"/>
    </row>
    <row r="21" spans="1:21" x14ac:dyDescent="0.25">
      <c r="A21" s="2" t="s">
        <v>135</v>
      </c>
      <c r="B21" s="2" t="s">
        <v>128</v>
      </c>
      <c r="C21" s="2"/>
      <c r="D21" s="23">
        <f>SUM(D27,D29)</f>
        <v>739466081.43294072</v>
      </c>
      <c r="E21" s="23">
        <f t="shared" ref="E21:U21" si="7">SUM(E27,E29)</f>
        <v>0</v>
      </c>
      <c r="F21" s="23">
        <f t="shared" si="7"/>
        <v>6219927.8164597033</v>
      </c>
      <c r="G21" s="23">
        <f t="shared" si="7"/>
        <v>12890089.472811583</v>
      </c>
      <c r="H21" s="23">
        <f t="shared" si="7"/>
        <v>28386383.127845261</v>
      </c>
      <c r="I21" s="23">
        <f t="shared" si="7"/>
        <v>45342297.471393719</v>
      </c>
      <c r="J21" s="23">
        <f t="shared" si="7"/>
        <v>63734513.594924644</v>
      </c>
      <c r="K21" s="23">
        <f t="shared" si="7"/>
        <v>83655735.782339275</v>
      </c>
      <c r="L21" s="23">
        <f t="shared" si="7"/>
        <v>105204433.4137812</v>
      </c>
      <c r="M21" s="23">
        <f t="shared" si="7"/>
        <v>109827735.1460277</v>
      </c>
      <c r="N21" s="23">
        <f t="shared" si="7"/>
        <v>114652589.00803885</v>
      </c>
      <c r="O21" s="23">
        <f t="shared" si="7"/>
        <v>119688118.83641754</v>
      </c>
      <c r="P21" s="23">
        <f t="shared" si="7"/>
        <v>115533381.8541933</v>
      </c>
      <c r="Q21" s="23">
        <f t="shared" si="7"/>
        <v>110781462.94722958</v>
      </c>
      <c r="R21" s="23">
        <f t="shared" si="7"/>
        <v>92513721.88761574</v>
      </c>
      <c r="S21" s="23">
        <f t="shared" si="7"/>
        <v>72428795.845172405</v>
      </c>
      <c r="T21" s="23">
        <f t="shared" si="7"/>
        <v>50403083.76354409</v>
      </c>
      <c r="U21" s="23">
        <f t="shared" si="7"/>
        <v>26306110.824202757</v>
      </c>
    </row>
    <row r="22" spans="1:21" x14ac:dyDescent="0.25">
      <c r="A22" s="7" t="s">
        <v>136</v>
      </c>
      <c r="B22" t="s">
        <v>51</v>
      </c>
      <c r="C22" t="s">
        <v>144</v>
      </c>
      <c r="D22" s="17">
        <v>7497</v>
      </c>
      <c r="E22" s="17">
        <f>D22*0.995</f>
        <v>7459.5150000000003</v>
      </c>
      <c r="F22" s="17">
        <f t="shared" ref="F22:U22" si="8">E22*0.995</f>
        <v>7422.2174250000007</v>
      </c>
      <c r="G22" s="17">
        <f t="shared" si="8"/>
        <v>7385.1063378750005</v>
      </c>
      <c r="H22" s="17">
        <f t="shared" si="8"/>
        <v>7348.1808061856254</v>
      </c>
      <c r="I22" s="17">
        <f t="shared" si="8"/>
        <v>7311.4399021546969</v>
      </c>
      <c r="J22" s="17">
        <f t="shared" si="8"/>
        <v>7274.882702643923</v>
      </c>
      <c r="K22" s="17">
        <f t="shared" si="8"/>
        <v>7238.5082891307038</v>
      </c>
      <c r="L22" s="17">
        <f t="shared" si="8"/>
        <v>7202.3157476850502</v>
      </c>
      <c r="M22" s="17">
        <f t="shared" si="8"/>
        <v>7166.3041689466245</v>
      </c>
      <c r="N22" s="17">
        <f t="shared" si="8"/>
        <v>7130.4726481018915</v>
      </c>
      <c r="O22" s="17">
        <f t="shared" si="8"/>
        <v>7094.8202848613819</v>
      </c>
      <c r="P22" s="17">
        <f t="shared" si="8"/>
        <v>7059.3461834370746</v>
      </c>
      <c r="Q22" s="17">
        <f t="shared" si="8"/>
        <v>7024.0494525198892</v>
      </c>
      <c r="R22" s="17">
        <f t="shared" si="8"/>
        <v>6988.9292052572901</v>
      </c>
      <c r="S22" s="17">
        <f t="shared" si="8"/>
        <v>6953.9845592310039</v>
      </c>
      <c r="T22" s="17">
        <f t="shared" si="8"/>
        <v>6919.2146364348491</v>
      </c>
      <c r="U22" s="17">
        <f t="shared" si="8"/>
        <v>6884.6185632526749</v>
      </c>
    </row>
    <row r="23" spans="1:21" x14ac:dyDescent="0.25">
      <c r="A23" s="7" t="s">
        <v>137</v>
      </c>
      <c r="B23" t="s">
        <v>50</v>
      </c>
      <c r="C23" t="s">
        <v>144</v>
      </c>
      <c r="D23" s="17">
        <v>17460</v>
      </c>
      <c r="E23" s="17">
        <f>D23*0.98</f>
        <v>17110.8</v>
      </c>
      <c r="F23" s="17">
        <f t="shared" ref="F23:U23" si="9">E23*0.98</f>
        <v>16768.583999999999</v>
      </c>
      <c r="G23" s="17">
        <f t="shared" si="9"/>
        <v>16433.212319999999</v>
      </c>
      <c r="H23" s="17">
        <f t="shared" si="9"/>
        <v>16104.548073599999</v>
      </c>
      <c r="I23" s="17">
        <f t="shared" si="9"/>
        <v>15782.457112127999</v>
      </c>
      <c r="J23" s="17">
        <f t="shared" si="9"/>
        <v>15466.807969885438</v>
      </c>
      <c r="K23" s="17">
        <f t="shared" si="9"/>
        <v>15157.471810487728</v>
      </c>
      <c r="L23" s="17">
        <f t="shared" si="9"/>
        <v>14854.322374277974</v>
      </c>
      <c r="M23" s="17">
        <f t="shared" si="9"/>
        <v>14557.235926792415</v>
      </c>
      <c r="N23" s="17">
        <f t="shared" si="9"/>
        <v>14266.091208256566</v>
      </c>
      <c r="O23" s="17">
        <f t="shared" si="9"/>
        <v>13980.769384091434</v>
      </c>
      <c r="P23" s="17">
        <f t="shared" si="9"/>
        <v>13701.153996409605</v>
      </c>
      <c r="Q23" s="17">
        <f t="shared" si="9"/>
        <v>13427.130916481412</v>
      </c>
      <c r="R23" s="17">
        <f t="shared" si="9"/>
        <v>13158.588298151784</v>
      </c>
      <c r="S23" s="17">
        <f t="shared" si="9"/>
        <v>12895.416532188749</v>
      </c>
      <c r="T23" s="17">
        <f t="shared" si="9"/>
        <v>12637.508201544973</v>
      </c>
      <c r="U23" s="17">
        <f t="shared" si="9"/>
        <v>12384.758037514073</v>
      </c>
    </row>
    <row r="24" spans="1:21" x14ac:dyDescent="0.25">
      <c r="A24" s="7" t="s">
        <v>138</v>
      </c>
      <c r="B24" t="s">
        <v>52</v>
      </c>
      <c r="C24" t="s">
        <v>144</v>
      </c>
      <c r="D24" s="17">
        <v>12.06</v>
      </c>
      <c r="E24" s="17">
        <v>12.06</v>
      </c>
      <c r="F24" s="17">
        <v>12.06</v>
      </c>
      <c r="G24" s="17">
        <v>12.06</v>
      </c>
      <c r="H24" s="17">
        <v>12.06</v>
      </c>
      <c r="I24" s="17">
        <v>12.06</v>
      </c>
      <c r="J24" s="17">
        <v>12.06</v>
      </c>
      <c r="K24" s="17">
        <v>12.06</v>
      </c>
      <c r="L24" s="17">
        <v>12.06</v>
      </c>
      <c r="M24" s="17">
        <v>12.06</v>
      </c>
      <c r="N24" s="17">
        <v>12.06</v>
      </c>
      <c r="O24" s="17">
        <v>12.06</v>
      </c>
      <c r="P24" s="17">
        <v>12.06</v>
      </c>
      <c r="Q24" s="17">
        <v>12.06</v>
      </c>
      <c r="R24" s="17">
        <v>12.06</v>
      </c>
      <c r="S24" s="17">
        <v>12.06</v>
      </c>
      <c r="T24" s="17">
        <v>12.06</v>
      </c>
      <c r="U24" s="17">
        <v>12.06</v>
      </c>
    </row>
    <row r="25" spans="1:21" x14ac:dyDescent="0.25">
      <c r="A25" s="7" t="s">
        <v>145</v>
      </c>
      <c r="B25" t="s">
        <v>53</v>
      </c>
      <c r="C25" t="s">
        <v>144</v>
      </c>
      <c r="D25" s="19"/>
      <c r="E25" s="19"/>
      <c r="F25" s="32">
        <f t="shared" ref="F25:U25" si="10">F18/SUM(F22:F23)</f>
        <v>2.2322534525124772E-2</v>
      </c>
      <c r="G25" s="32">
        <f t="shared" si="10"/>
        <v>4.5343250945335804E-2</v>
      </c>
      <c r="H25" s="32">
        <f t="shared" si="10"/>
        <v>9.7984333157097647E-2</v>
      </c>
      <c r="I25" s="32">
        <f t="shared" si="10"/>
        <v>0.15224801590764384</v>
      </c>
      <c r="J25" s="32">
        <f t="shared" si="10"/>
        <v>0.20816394296130308</v>
      </c>
      <c r="K25" s="32">
        <f t="shared" si="10"/>
        <v>0.26576197931616335</v>
      </c>
      <c r="L25" s="32">
        <f t="shared" si="10"/>
        <v>0.32507220548993965</v>
      </c>
      <c r="M25" s="32">
        <f t="shared" si="10"/>
        <v>0.3300567020108458</v>
      </c>
      <c r="N25" s="32">
        <f t="shared" si="10"/>
        <v>0.33510053521370803</v>
      </c>
      <c r="O25" s="32">
        <f t="shared" si="10"/>
        <v>0.34020400437774589</v>
      </c>
      <c r="P25" s="32">
        <f t="shared" si="10"/>
        <v>0.31935646745332719</v>
      </c>
      <c r="Q25" s="32">
        <f t="shared" si="10"/>
        <v>0.29778232307954533</v>
      </c>
      <c r="R25" s="32">
        <f t="shared" si="10"/>
        <v>0.24181639247493542</v>
      </c>
      <c r="S25" s="32">
        <f t="shared" si="10"/>
        <v>0.1840861587294694</v>
      </c>
      <c r="T25" s="32">
        <f t="shared" si="10"/>
        <v>0.1245607467151503</v>
      </c>
      <c r="U25" s="32">
        <f t="shared" si="10"/>
        <v>6.3209102465283412E-2</v>
      </c>
    </row>
    <row r="26" spans="1:21" x14ac:dyDescent="0.25">
      <c r="A26" s="7" t="s">
        <v>189</v>
      </c>
      <c r="B26" t="s">
        <v>195</v>
      </c>
      <c r="C26" t="s">
        <v>144</v>
      </c>
      <c r="D26" s="18"/>
      <c r="E26" s="18"/>
      <c r="F26" s="18">
        <f t="shared" ref="F26:U26" si="11">F22*F25</f>
        <v>165.6827047225452</v>
      </c>
      <c r="G26" s="18">
        <f t="shared" si="11"/>
        <v>334.86472993625603</v>
      </c>
      <c r="H26" s="18">
        <f t="shared" si="11"/>
        <v>720.00659621188265</v>
      </c>
      <c r="I26" s="18">
        <f t="shared" si="11"/>
        <v>1113.1522185310303</v>
      </c>
      <c r="J26" s="18">
        <f t="shared" si="11"/>
        <v>1514.36826796334</v>
      </c>
      <c r="K26" s="18">
        <f t="shared" si="11"/>
        <v>1923.720290215831</v>
      </c>
      <c r="L26" s="18">
        <f t="shared" si="11"/>
        <v>2341.2726647349027</v>
      </c>
      <c r="M26" s="18">
        <f t="shared" si="11"/>
        <v>2365.2867196090979</v>
      </c>
      <c r="N26" s="18">
        <f t="shared" si="11"/>
        <v>2389.4252007056498</v>
      </c>
      <c r="O26" s="18">
        <f t="shared" si="11"/>
        <v>2413.6862712503021</v>
      </c>
      <c r="P26" s="18">
        <f t="shared" si="11"/>
        <v>2254.4478596725917</v>
      </c>
      <c r="Q26" s="18">
        <f t="shared" si="11"/>
        <v>2091.637763396981</v>
      </c>
      <c r="R26" s="18">
        <f t="shared" si="11"/>
        <v>1690.0376476780352</v>
      </c>
      <c r="S26" s="18">
        <f t="shared" si="11"/>
        <v>1280.1323053728779</v>
      </c>
      <c r="T26" s="18">
        <f t="shared" si="11"/>
        <v>861.86254179672198</v>
      </c>
      <c r="U26" s="18">
        <f t="shared" si="11"/>
        <v>435.1705601990306</v>
      </c>
    </row>
    <row r="27" spans="1:21" x14ac:dyDescent="0.25">
      <c r="A27" s="7" t="s">
        <v>190</v>
      </c>
      <c r="B27" t="s">
        <v>194</v>
      </c>
      <c r="C27" t="s">
        <v>120</v>
      </c>
      <c r="D27" s="18">
        <f>NPV(0.05,F27:U27)</f>
        <v>579650459.74220836</v>
      </c>
      <c r="E27" s="18"/>
      <c r="F27" s="18">
        <f>F24*F26*F34*0.8</f>
        <v>4745694.7505543148</v>
      </c>
      <c r="G27" s="18">
        <f t="shared" ref="G27:U27" si="12">G24*G26*G34*0.8</f>
        <v>9870178.9023140911</v>
      </c>
      <c r="H27" s="18">
        <f t="shared" si="12"/>
        <v>21813023.42651967</v>
      </c>
      <c r="I27" s="18">
        <f t="shared" si="12"/>
        <v>34964572.830547728</v>
      </c>
      <c r="J27" s="18">
        <f t="shared" si="12"/>
        <v>49317434.322694473</v>
      </c>
      <c r="K27" s="18">
        <f t="shared" si="12"/>
        <v>64953876.341865793</v>
      </c>
      <c r="L27" s="18">
        <f t="shared" si="12"/>
        <v>81961374.955861092</v>
      </c>
      <c r="M27" s="18">
        <f t="shared" si="12"/>
        <v>85849232.342118502</v>
      </c>
      <c r="N27" s="18">
        <f t="shared" si="12"/>
        <v>89916601.181726202</v>
      </c>
      <c r="O27" s="18">
        <f t="shared" si="12"/>
        <v>94171989.25931251</v>
      </c>
      <c r="P27" s="18">
        <f t="shared" si="12"/>
        <v>91196140.271620527</v>
      </c>
      <c r="Q27" s="18">
        <f t="shared" si="12"/>
        <v>87723793.805877104</v>
      </c>
      <c r="R27" s="18">
        <f t="shared" si="12"/>
        <v>73488812.894163176</v>
      </c>
      <c r="S27" s="18">
        <f t="shared" si="12"/>
        <v>57713169.021188453</v>
      </c>
      <c r="T27" s="18">
        <f t="shared" si="12"/>
        <v>40285888.551804796</v>
      </c>
      <c r="U27" s="18">
        <f t="shared" si="12"/>
        <v>21089613.764548123</v>
      </c>
    </row>
    <row r="28" spans="1:21" x14ac:dyDescent="0.25">
      <c r="A28" s="7" t="s">
        <v>191</v>
      </c>
      <c r="B28" t="s">
        <v>196</v>
      </c>
      <c r="C28" t="s">
        <v>144</v>
      </c>
      <c r="D28" s="18"/>
      <c r="E28" s="18"/>
      <c r="F28" s="18">
        <f t="shared" ref="F28:U28" si="13">F23*F25</f>
        <v>374.31729527745483</v>
      </c>
      <c r="G28" s="18">
        <f t="shared" si="13"/>
        <v>745.13527006374397</v>
      </c>
      <c r="H28" s="18">
        <f t="shared" si="13"/>
        <v>1577.9934037881173</v>
      </c>
      <c r="I28" s="18">
        <f t="shared" si="13"/>
        <v>2402.84778146897</v>
      </c>
      <c r="J28" s="18">
        <f t="shared" si="13"/>
        <v>3219.6317320366602</v>
      </c>
      <c r="K28" s="18">
        <f t="shared" si="13"/>
        <v>4028.279709784169</v>
      </c>
      <c r="L28" s="18">
        <f t="shared" si="13"/>
        <v>4828.7273352650973</v>
      </c>
      <c r="M28" s="18">
        <f t="shared" si="13"/>
        <v>4804.7132803909026</v>
      </c>
      <c r="N28" s="18">
        <f t="shared" si="13"/>
        <v>4780.5747992943498</v>
      </c>
      <c r="O28" s="18">
        <f t="shared" si="13"/>
        <v>4756.3137287496984</v>
      </c>
      <c r="P28" s="18">
        <f t="shared" si="13"/>
        <v>4375.5521403274079</v>
      </c>
      <c r="Q28" s="18">
        <f t="shared" si="13"/>
        <v>3998.3622366030195</v>
      </c>
      <c r="R28" s="18">
        <f t="shared" si="13"/>
        <v>3181.9623523219643</v>
      </c>
      <c r="S28" s="18">
        <f t="shared" si="13"/>
        <v>2373.8676946271216</v>
      </c>
      <c r="T28" s="18">
        <f t="shared" si="13"/>
        <v>1574.1374582032781</v>
      </c>
      <c r="U28" s="18">
        <f t="shared" si="13"/>
        <v>782.82943980096934</v>
      </c>
    </row>
    <row r="29" spans="1:21" x14ac:dyDescent="0.25">
      <c r="A29" s="7" t="s">
        <v>192</v>
      </c>
      <c r="B29" t="s">
        <v>193</v>
      </c>
      <c r="C29" t="s">
        <v>120</v>
      </c>
      <c r="D29" s="18">
        <f>NPV(0.05,F29:U29)</f>
        <v>159815621.6907323</v>
      </c>
      <c r="E29" s="18"/>
      <c r="F29" s="18">
        <f>F35*0.1*F24*F28</f>
        <v>1474233.0659053887</v>
      </c>
      <c r="G29" s="18">
        <f t="shared" ref="G29:U29" si="14">G35*0.1*G24*G28</f>
        <v>3019910.5704974914</v>
      </c>
      <c r="H29" s="18">
        <f t="shared" si="14"/>
        <v>6573359.7013255917</v>
      </c>
      <c r="I29" s="18">
        <f t="shared" si="14"/>
        <v>10377724.64084599</v>
      </c>
      <c r="J29" s="18">
        <f t="shared" si="14"/>
        <v>14417079.272230167</v>
      </c>
      <c r="K29" s="18">
        <f t="shared" si="14"/>
        <v>18701859.440473475</v>
      </c>
      <c r="L29" s="18">
        <f t="shared" si="14"/>
        <v>23243058.457920101</v>
      </c>
      <c r="M29" s="18">
        <f t="shared" si="14"/>
        <v>23978502.803909197</v>
      </c>
      <c r="N29" s="18">
        <f t="shared" si="14"/>
        <v>24735987.826312646</v>
      </c>
      <c r="O29" s="18">
        <f t="shared" si="14"/>
        <v>25516129.57710503</v>
      </c>
      <c r="P29" s="18">
        <f t="shared" si="14"/>
        <v>24337241.582572777</v>
      </c>
      <c r="Q29" s="18">
        <f t="shared" si="14"/>
        <v>23057669.141352471</v>
      </c>
      <c r="R29" s="18">
        <f t="shared" si="14"/>
        <v>19024908.993452564</v>
      </c>
      <c r="S29" s="18">
        <f t="shared" si="14"/>
        <v>14715626.823983949</v>
      </c>
      <c r="T29" s="18">
        <f t="shared" si="14"/>
        <v>10117195.211739294</v>
      </c>
      <c r="U29" s="18">
        <f t="shared" si="14"/>
        <v>5216497.0596546335</v>
      </c>
    </row>
    <row r="31" spans="1:21" x14ac:dyDescent="0.25">
      <c r="A31" s="2" t="s">
        <v>147</v>
      </c>
      <c r="B31" s="2" t="s">
        <v>6</v>
      </c>
      <c r="C31" s="2"/>
      <c r="D31" s="2"/>
      <c r="E31" s="2"/>
      <c r="F31" s="2"/>
      <c r="G31" s="2"/>
      <c r="H31" s="2"/>
      <c r="I31" s="2"/>
      <c r="J31" s="2"/>
      <c r="K31" s="2"/>
      <c r="L31" s="2"/>
      <c r="M31" s="2"/>
      <c r="N31" s="2"/>
      <c r="O31" s="2"/>
      <c r="P31" s="2"/>
      <c r="Q31" s="2"/>
      <c r="R31" s="2"/>
      <c r="S31" s="2"/>
      <c r="T31" s="2"/>
      <c r="U31" s="2"/>
    </row>
    <row r="32" spans="1:21" x14ac:dyDescent="0.25">
      <c r="A32" s="7" t="s">
        <v>148</v>
      </c>
      <c r="B32" t="s">
        <v>14</v>
      </c>
      <c r="C32" t="s">
        <v>120</v>
      </c>
      <c r="D32" s="19"/>
      <c r="E32" s="17">
        <v>13579.28</v>
      </c>
      <c r="F32" s="17">
        <v>14091.14</v>
      </c>
      <c r="G32" s="17">
        <v>14500.36</v>
      </c>
      <c r="H32" s="17">
        <v>14903.98</v>
      </c>
      <c r="I32" s="17">
        <v>15452.43</v>
      </c>
      <c r="J32" s="17">
        <v>16021.07</v>
      </c>
      <c r="K32" s="17">
        <v>16610.63</v>
      </c>
      <c r="L32" s="17">
        <v>17221.88</v>
      </c>
      <c r="M32" s="17">
        <v>17855.63</v>
      </c>
      <c r="N32" s="17">
        <v>18512.71</v>
      </c>
      <c r="O32" s="17">
        <v>19193.96</v>
      </c>
      <c r="P32" s="17">
        <v>19900.28</v>
      </c>
      <c r="Q32" s="17">
        <v>20632.59</v>
      </c>
      <c r="R32" s="17">
        <v>21391.85</v>
      </c>
      <c r="S32" s="17">
        <v>22179.05</v>
      </c>
      <c r="T32" s="17">
        <v>22995.22</v>
      </c>
      <c r="U32" s="17">
        <v>23841.42</v>
      </c>
    </row>
    <row r="33" spans="1:21" x14ac:dyDescent="0.25">
      <c r="A33" s="7" t="s">
        <v>149</v>
      </c>
      <c r="B33" t="s">
        <v>49</v>
      </c>
      <c r="C33" t="s">
        <v>120</v>
      </c>
      <c r="D33" s="19"/>
      <c r="E33" s="17">
        <f>E32*0.15</f>
        <v>2036.8920000000001</v>
      </c>
      <c r="F33" s="17">
        <f t="shared" ref="F33:U33" si="15">F32*0.15</f>
        <v>2113.6709999999998</v>
      </c>
      <c r="G33" s="17">
        <f t="shared" si="15"/>
        <v>2175.0540000000001</v>
      </c>
      <c r="H33" s="17">
        <f t="shared" si="15"/>
        <v>2235.5969999999998</v>
      </c>
      <c r="I33" s="17">
        <f t="shared" si="15"/>
        <v>2317.8645000000001</v>
      </c>
      <c r="J33" s="17">
        <f t="shared" si="15"/>
        <v>2403.1605</v>
      </c>
      <c r="K33" s="17">
        <f t="shared" si="15"/>
        <v>2491.5945000000002</v>
      </c>
      <c r="L33" s="17">
        <f t="shared" si="15"/>
        <v>2583.2820000000002</v>
      </c>
      <c r="M33" s="17">
        <f t="shared" si="15"/>
        <v>2678.3445000000002</v>
      </c>
      <c r="N33" s="17">
        <f t="shared" si="15"/>
        <v>2776.9064999999996</v>
      </c>
      <c r="O33" s="17">
        <f t="shared" si="15"/>
        <v>2879.0939999999996</v>
      </c>
      <c r="P33" s="17">
        <f t="shared" si="15"/>
        <v>2985.0419999999999</v>
      </c>
      <c r="Q33" s="17">
        <f t="shared" si="15"/>
        <v>3094.8885</v>
      </c>
      <c r="R33" s="17">
        <f t="shared" si="15"/>
        <v>3208.7774999999997</v>
      </c>
      <c r="S33" s="17">
        <f t="shared" si="15"/>
        <v>3326.8574999999996</v>
      </c>
      <c r="T33" s="17">
        <f t="shared" si="15"/>
        <v>3449.2829999999999</v>
      </c>
      <c r="U33" s="17">
        <f t="shared" si="15"/>
        <v>3576.2129999999997</v>
      </c>
    </row>
    <row r="34" spans="1:21" x14ac:dyDescent="0.25">
      <c r="A34" s="7" t="s">
        <v>150</v>
      </c>
      <c r="B34" t="s">
        <v>24</v>
      </c>
      <c r="C34" t="s">
        <v>120</v>
      </c>
      <c r="D34" s="19"/>
      <c r="E34" s="17">
        <v>2860.99</v>
      </c>
      <c r="F34" s="17">
        <v>2968.83</v>
      </c>
      <c r="G34" s="17">
        <v>3055.05</v>
      </c>
      <c r="H34" s="17">
        <v>3140.09</v>
      </c>
      <c r="I34" s="17">
        <v>3255.64</v>
      </c>
      <c r="J34" s="17">
        <v>3375.45</v>
      </c>
      <c r="K34" s="17">
        <v>3499.66</v>
      </c>
      <c r="L34" s="17">
        <v>3628.44</v>
      </c>
      <c r="M34" s="17">
        <v>3761.97</v>
      </c>
      <c r="N34" s="17">
        <v>3900.4</v>
      </c>
      <c r="O34" s="17">
        <v>4043.93</v>
      </c>
      <c r="P34" s="17">
        <v>4192.75</v>
      </c>
      <c r="Q34" s="17">
        <v>4347.04</v>
      </c>
      <c r="R34" s="17">
        <v>4507</v>
      </c>
      <c r="S34" s="17">
        <v>4672.8599999999997</v>
      </c>
      <c r="T34" s="17">
        <v>4844.82</v>
      </c>
      <c r="U34" s="17">
        <v>5023.1000000000004</v>
      </c>
    </row>
    <row r="35" spans="1:21" x14ac:dyDescent="0.25">
      <c r="A35" s="7" t="s">
        <v>151</v>
      </c>
      <c r="B35" t="s">
        <v>25</v>
      </c>
      <c r="C35" t="s">
        <v>120</v>
      </c>
      <c r="D35" s="19"/>
      <c r="E35" s="17">
        <v>3147.09</v>
      </c>
      <c r="F35" s="17">
        <v>3265.72</v>
      </c>
      <c r="G35" s="17">
        <v>3360.56</v>
      </c>
      <c r="H35" s="17">
        <v>3454.1</v>
      </c>
      <c r="I35" s="17">
        <v>3581.2</v>
      </c>
      <c r="J35" s="17">
        <v>3712.99</v>
      </c>
      <c r="K35" s="17">
        <v>3849.62</v>
      </c>
      <c r="L35" s="17">
        <v>3991.29</v>
      </c>
      <c r="M35" s="17">
        <v>4138.16</v>
      </c>
      <c r="N35" s="17">
        <v>4290.4399999999996</v>
      </c>
      <c r="O35" s="17">
        <v>4448.33</v>
      </c>
      <c r="P35" s="17">
        <v>4612.0200000000004</v>
      </c>
      <c r="Q35" s="17">
        <v>4781.74</v>
      </c>
      <c r="R35" s="17">
        <v>4957.7</v>
      </c>
      <c r="S35" s="17">
        <v>5140.1400000000003</v>
      </c>
      <c r="T35" s="17">
        <v>5329.3</v>
      </c>
      <c r="U35" s="17">
        <v>5525.41</v>
      </c>
    </row>
    <row r="37" spans="1:21" x14ac:dyDescent="0.25">
      <c r="A37" s="2" t="s">
        <v>155</v>
      </c>
      <c r="B37" s="2" t="s">
        <v>18</v>
      </c>
      <c r="C37" s="2"/>
      <c r="D37" s="2"/>
      <c r="E37" s="2"/>
      <c r="F37" s="2"/>
      <c r="G37" s="2"/>
      <c r="H37" s="2"/>
      <c r="I37" s="2"/>
      <c r="J37" s="2"/>
      <c r="K37" s="2"/>
      <c r="L37" s="2"/>
      <c r="M37" s="2"/>
      <c r="N37" s="2"/>
      <c r="O37" s="2"/>
      <c r="P37" s="2"/>
      <c r="Q37" s="2"/>
      <c r="R37" s="2"/>
      <c r="S37" s="2"/>
      <c r="T37" s="2"/>
      <c r="U37" s="2"/>
    </row>
    <row r="38" spans="1:21" x14ac:dyDescent="0.25">
      <c r="A38" t="s">
        <v>156</v>
      </c>
      <c r="B38" t="s">
        <v>82</v>
      </c>
    </row>
    <row r="39" spans="1:21" x14ac:dyDescent="0.25">
      <c r="A39" t="s">
        <v>157</v>
      </c>
      <c r="B39" t="s">
        <v>333</v>
      </c>
    </row>
    <row r="41" spans="1:21" x14ac:dyDescent="0.25">
      <c r="A41" s="2" t="s">
        <v>160</v>
      </c>
      <c r="B41" s="36" t="s">
        <v>277</v>
      </c>
      <c r="C41" s="2"/>
      <c r="D41" s="2"/>
      <c r="E41" s="2"/>
      <c r="F41" s="2"/>
      <c r="G41" s="2"/>
      <c r="H41" s="2"/>
      <c r="I41" s="2"/>
      <c r="J41" s="2"/>
      <c r="K41" s="2"/>
      <c r="L41" s="2"/>
      <c r="M41" s="2"/>
      <c r="N41" s="2"/>
      <c r="O41" s="2"/>
      <c r="P41" s="2"/>
      <c r="Q41" s="2"/>
      <c r="R41" s="2"/>
      <c r="S41" s="2"/>
      <c r="T41" s="2"/>
      <c r="U41" s="2"/>
    </row>
    <row r="42" spans="1:21" x14ac:dyDescent="0.25">
      <c r="A42" t="s">
        <v>158</v>
      </c>
      <c r="B42" t="s">
        <v>278</v>
      </c>
    </row>
    <row r="43" spans="1:21" x14ac:dyDescent="0.25">
      <c r="A43" t="s">
        <v>159</v>
      </c>
      <c r="B43" t="s">
        <v>267</v>
      </c>
    </row>
  </sheetData>
  <mergeCells count="5">
    <mergeCell ref="B2:B3"/>
    <mergeCell ref="D2:D3"/>
    <mergeCell ref="F1:U1"/>
    <mergeCell ref="A1:A3"/>
    <mergeCell ref="C2:C3"/>
  </mergeCells>
  <phoneticPr fontId="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8C3D-7218-4630-B449-3B8F5B6DBE65}">
  <sheetPr codeName="Sheet9">
    <tabColor theme="9" tint="0.79998168889431442"/>
  </sheetPr>
  <dimension ref="A1:AL40"/>
  <sheetViews>
    <sheetView workbookViewId="0">
      <selection activeCell="B8" sqref="B8:B9"/>
    </sheetView>
  </sheetViews>
  <sheetFormatPr defaultRowHeight="15" x14ac:dyDescent="0.25"/>
  <cols>
    <col min="2" max="2" width="75.7109375" customWidth="1"/>
    <col min="3" max="3" width="11.5703125" customWidth="1"/>
    <col min="4" max="4" width="11.28515625" customWidth="1"/>
    <col min="5" max="5" width="10.85546875" customWidth="1"/>
    <col min="17" max="17" width="11.28515625" customWidth="1"/>
    <col min="18" max="18" width="10.5703125" customWidth="1"/>
    <col min="19" max="19" width="10.85546875" customWidth="1"/>
    <col min="20" max="20" width="10.28515625" customWidth="1"/>
  </cols>
  <sheetData>
    <row r="1" spans="1:27" ht="17.25" customHeight="1" x14ac:dyDescent="0.25">
      <c r="A1" s="42" t="s">
        <v>117</v>
      </c>
      <c r="B1" s="15" t="s">
        <v>103</v>
      </c>
      <c r="C1" s="15" t="s">
        <v>118</v>
      </c>
      <c r="D1" s="15"/>
      <c r="E1" s="15"/>
      <c r="F1" s="42" t="s">
        <v>5</v>
      </c>
      <c r="G1" s="42"/>
      <c r="H1" s="42"/>
      <c r="I1" s="42"/>
      <c r="J1" s="42"/>
      <c r="K1" s="42"/>
      <c r="L1" s="42"/>
      <c r="M1" s="42"/>
      <c r="N1" s="42"/>
      <c r="O1" s="42"/>
      <c r="P1" s="42"/>
      <c r="Q1" s="42"/>
      <c r="R1" s="42"/>
      <c r="S1" s="42"/>
      <c r="T1" s="42"/>
      <c r="U1" s="42"/>
      <c r="V1" s="42"/>
      <c r="W1" s="42"/>
      <c r="X1" s="42"/>
      <c r="Y1" s="42"/>
      <c r="Z1" s="42"/>
      <c r="AA1" s="42"/>
    </row>
    <row r="2" spans="1:27" x14ac:dyDescent="0.25">
      <c r="A2" s="42"/>
      <c r="B2" s="42" t="s">
        <v>3</v>
      </c>
      <c r="C2" s="49" t="s">
        <v>119</v>
      </c>
      <c r="D2" s="42" t="s">
        <v>4</v>
      </c>
      <c r="E2" s="15">
        <v>2022</v>
      </c>
      <c r="F2" s="15">
        <v>2023</v>
      </c>
      <c r="G2" s="15">
        <v>2024</v>
      </c>
      <c r="H2" s="15">
        <v>2025</v>
      </c>
      <c r="I2" s="15">
        <v>2026</v>
      </c>
      <c r="J2" s="15">
        <v>2027</v>
      </c>
      <c r="K2" s="15">
        <v>2028</v>
      </c>
      <c r="L2" s="15">
        <v>2029</v>
      </c>
      <c r="M2" s="15">
        <v>2030</v>
      </c>
      <c r="N2" s="15">
        <v>2031</v>
      </c>
      <c r="O2" s="15">
        <v>2032</v>
      </c>
      <c r="P2" s="15">
        <v>2033</v>
      </c>
      <c r="Q2" s="15">
        <v>2034</v>
      </c>
      <c r="R2" s="15">
        <v>2035</v>
      </c>
      <c r="S2" s="15">
        <v>2036</v>
      </c>
      <c r="T2" s="15">
        <v>2037</v>
      </c>
      <c r="U2" s="15">
        <v>2038</v>
      </c>
      <c r="V2" s="15">
        <v>2039</v>
      </c>
      <c r="W2" s="15">
        <v>2040</v>
      </c>
      <c r="X2" s="15">
        <v>2041</v>
      </c>
      <c r="Y2" s="15">
        <v>2042</v>
      </c>
      <c r="Z2" s="15">
        <v>2043</v>
      </c>
      <c r="AA2" s="15">
        <v>2044</v>
      </c>
    </row>
    <row r="3" spans="1:27" x14ac:dyDescent="0.25">
      <c r="A3" s="42"/>
      <c r="B3" s="42"/>
      <c r="C3" s="49"/>
      <c r="D3" s="42"/>
      <c r="E3" s="15">
        <v>0</v>
      </c>
      <c r="F3" s="15">
        <v>1</v>
      </c>
      <c r="G3" s="15">
        <v>2</v>
      </c>
      <c r="H3" s="15">
        <v>3</v>
      </c>
      <c r="I3" s="15">
        <v>4</v>
      </c>
      <c r="J3" s="15">
        <v>5</v>
      </c>
      <c r="K3" s="15">
        <v>6</v>
      </c>
      <c r="L3" s="15">
        <v>7</v>
      </c>
      <c r="M3" s="15">
        <v>8</v>
      </c>
      <c r="N3" s="15">
        <v>9</v>
      </c>
      <c r="O3" s="15">
        <v>10</v>
      </c>
      <c r="P3" s="15">
        <v>11</v>
      </c>
      <c r="Q3" s="15">
        <v>12</v>
      </c>
      <c r="R3" s="15">
        <v>13</v>
      </c>
      <c r="S3" s="15">
        <v>14</v>
      </c>
      <c r="T3" s="15">
        <v>15</v>
      </c>
      <c r="U3" s="15">
        <v>16</v>
      </c>
      <c r="V3" s="15">
        <v>17</v>
      </c>
      <c r="W3" s="15">
        <v>18</v>
      </c>
      <c r="X3" s="15">
        <v>19</v>
      </c>
      <c r="Y3" s="15">
        <v>20</v>
      </c>
      <c r="Z3" s="15">
        <v>21</v>
      </c>
      <c r="AA3" s="15">
        <v>22</v>
      </c>
    </row>
    <row r="4" spans="1:27" x14ac:dyDescent="0.25">
      <c r="A4" t="s">
        <v>115</v>
      </c>
      <c r="B4" t="s">
        <v>319</v>
      </c>
      <c r="C4" t="s">
        <v>120</v>
      </c>
      <c r="D4" s="18">
        <f>E4+NPV(0.05,F4:L4)</f>
        <v>22679330.35896245</v>
      </c>
      <c r="E4" s="18">
        <f>26735140/8</f>
        <v>3341892.5</v>
      </c>
      <c r="F4" s="18">
        <f t="shared" ref="F4:L4" si="0">26735140/8</f>
        <v>3341892.5</v>
      </c>
      <c r="G4" s="18">
        <f t="shared" si="0"/>
        <v>3341892.5</v>
      </c>
      <c r="H4" s="18">
        <f t="shared" si="0"/>
        <v>3341892.5</v>
      </c>
      <c r="I4" s="18">
        <f t="shared" si="0"/>
        <v>3341892.5</v>
      </c>
      <c r="J4" s="18">
        <f t="shared" si="0"/>
        <v>3341892.5</v>
      </c>
      <c r="K4" s="18">
        <f t="shared" si="0"/>
        <v>3341892.5</v>
      </c>
      <c r="L4" s="18">
        <f t="shared" si="0"/>
        <v>3341892.5</v>
      </c>
      <c r="M4" s="22"/>
      <c r="N4" s="22"/>
      <c r="O4" s="22"/>
      <c r="P4" s="22"/>
      <c r="Q4" s="22"/>
      <c r="R4" s="22"/>
      <c r="S4" s="22"/>
      <c r="T4" s="22"/>
      <c r="U4" s="22"/>
      <c r="V4" s="22"/>
      <c r="W4" s="22"/>
      <c r="X4" s="22"/>
      <c r="Y4" s="22"/>
      <c r="Z4" s="22"/>
      <c r="AA4" s="22"/>
    </row>
    <row r="5" spans="1:27" x14ac:dyDescent="0.25">
      <c r="A5" t="s">
        <v>116</v>
      </c>
      <c r="B5" t="s">
        <v>296</v>
      </c>
      <c r="C5" t="s">
        <v>120</v>
      </c>
      <c r="D5" s="18">
        <f>SUM(D12:D13)</f>
        <v>30179130.271930207</v>
      </c>
      <c r="E5" s="18">
        <f t="shared" ref="E5:AA5" si="1">SUM(E12:E13)</f>
        <v>0</v>
      </c>
      <c r="F5" s="18">
        <f t="shared" si="1"/>
        <v>72522.715714285718</v>
      </c>
      <c r="G5" s="18">
        <f t="shared" si="1"/>
        <v>78340.392857142855</v>
      </c>
      <c r="H5" s="18">
        <f t="shared" si="1"/>
        <v>84236.395714285711</v>
      </c>
      <c r="I5" s="18">
        <f t="shared" si="1"/>
        <v>477122.62628571427</v>
      </c>
      <c r="J5" s="18">
        <f t="shared" si="1"/>
        <v>930783.22228571435</v>
      </c>
      <c r="K5" s="18">
        <f t="shared" si="1"/>
        <v>1433726.1408571429</v>
      </c>
      <c r="L5" s="18">
        <f t="shared" si="1"/>
        <v>1972353.158857143</v>
      </c>
      <c r="M5" s="18">
        <f t="shared" si="1"/>
        <v>2421293.5700000003</v>
      </c>
      <c r="N5" s="18">
        <f t="shared" si="1"/>
        <v>2991047.7640000004</v>
      </c>
      <c r="O5" s="18">
        <f t="shared" si="1"/>
        <v>3580265.048</v>
      </c>
      <c r="P5" s="18">
        <f t="shared" si="1"/>
        <v>4204057.1485714288</v>
      </c>
      <c r="Q5" s="18">
        <f t="shared" si="1"/>
        <v>4869002.3245714288</v>
      </c>
      <c r="R5" s="18">
        <f t="shared" si="1"/>
        <v>5577277.9742857143</v>
      </c>
      <c r="S5" s="18">
        <f t="shared" si="1"/>
        <v>5223189.5</v>
      </c>
      <c r="T5" s="18">
        <f t="shared" si="1"/>
        <v>4789596.5222857138</v>
      </c>
      <c r="U5" s="18">
        <f t="shared" si="1"/>
        <v>4293272.2394285714</v>
      </c>
      <c r="V5" s="18">
        <f t="shared" si="1"/>
        <v>3754030.8840000005</v>
      </c>
      <c r="W5" s="18">
        <f t="shared" si="1"/>
        <v>3226394.9599999995</v>
      </c>
      <c r="X5" s="18">
        <f t="shared" si="1"/>
        <v>2654840.7680000002</v>
      </c>
      <c r="Y5" s="18">
        <f t="shared" si="1"/>
        <v>2064403.9200000004</v>
      </c>
      <c r="Z5" s="18">
        <f t="shared" si="1"/>
        <v>1426913.6640000001</v>
      </c>
      <c r="AA5" s="18">
        <f t="shared" si="1"/>
        <v>739712.03200000001</v>
      </c>
    </row>
    <row r="7" spans="1:27" ht="15.75" customHeight="1" x14ac:dyDescent="0.25">
      <c r="A7" t="s">
        <v>121</v>
      </c>
      <c r="B7" t="s">
        <v>179</v>
      </c>
      <c r="C7" t="s">
        <v>120</v>
      </c>
      <c r="D7" s="20">
        <f>D5-D4</f>
        <v>7499799.9129677564</v>
      </c>
    </row>
    <row r="8" spans="1:27" ht="15.75" customHeight="1" x14ac:dyDescent="0.25">
      <c r="A8" t="s">
        <v>244</v>
      </c>
      <c r="B8" t="s">
        <v>247</v>
      </c>
      <c r="C8" t="s">
        <v>126</v>
      </c>
      <c r="D8" s="21">
        <f>D5/D4</f>
        <v>1.3306887722989571</v>
      </c>
    </row>
    <row r="9" spans="1:27" ht="15.75" customHeight="1" x14ac:dyDescent="0.25">
      <c r="A9" t="s">
        <v>245</v>
      </c>
      <c r="B9" t="s">
        <v>248</v>
      </c>
      <c r="C9" t="s">
        <v>126</v>
      </c>
      <c r="D9" s="21">
        <f>D5/D4</f>
        <v>1.3306887722989571</v>
      </c>
    </row>
    <row r="10" spans="1:27" ht="15.75" customHeight="1" x14ac:dyDescent="0.25">
      <c r="A10" t="s">
        <v>246</v>
      </c>
      <c r="B10" t="s">
        <v>249</v>
      </c>
      <c r="C10" t="s">
        <v>126</v>
      </c>
      <c r="D10" s="21">
        <f>(D17+D22+D26+D29+D20*0.8)/D4*0.9</f>
        <v>1.1883897970932837</v>
      </c>
    </row>
    <row r="11" spans="1:27" ht="15.75" customHeight="1" x14ac:dyDescent="0.25">
      <c r="D11" s="9"/>
    </row>
    <row r="12" spans="1:27" ht="15.75" customHeight="1" x14ac:dyDescent="0.25">
      <c r="A12" t="s">
        <v>122</v>
      </c>
      <c r="B12" t="s">
        <v>124</v>
      </c>
      <c r="C12" t="s">
        <v>120</v>
      </c>
      <c r="D12" s="18">
        <f>SUM(E12:U12)</f>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row>
    <row r="13" spans="1:27" ht="15.75" customHeight="1" x14ac:dyDescent="0.25">
      <c r="A13" t="s">
        <v>123</v>
      </c>
      <c r="B13" t="s">
        <v>125</v>
      </c>
      <c r="C13" t="s">
        <v>120</v>
      </c>
      <c r="D13" s="18">
        <f>SUM(D15,D24)</f>
        <v>30179130.271930207</v>
      </c>
      <c r="E13" s="18">
        <f t="shared" ref="E13:AA13" si="2">SUM(E15,E24)</f>
        <v>0</v>
      </c>
      <c r="F13" s="18">
        <f t="shared" si="2"/>
        <v>72522.715714285718</v>
      </c>
      <c r="G13" s="18">
        <f t="shared" si="2"/>
        <v>78340.392857142855</v>
      </c>
      <c r="H13" s="18">
        <f t="shared" si="2"/>
        <v>84236.395714285711</v>
      </c>
      <c r="I13" s="18">
        <f t="shared" si="2"/>
        <v>477122.62628571427</v>
      </c>
      <c r="J13" s="18">
        <f t="shared" si="2"/>
        <v>930783.22228571435</v>
      </c>
      <c r="K13" s="18">
        <f t="shared" si="2"/>
        <v>1433726.1408571429</v>
      </c>
      <c r="L13" s="18">
        <f t="shared" si="2"/>
        <v>1972353.158857143</v>
      </c>
      <c r="M13" s="18">
        <f t="shared" si="2"/>
        <v>2421293.5700000003</v>
      </c>
      <c r="N13" s="18">
        <f t="shared" si="2"/>
        <v>2991047.7640000004</v>
      </c>
      <c r="O13" s="18">
        <f t="shared" si="2"/>
        <v>3580265.048</v>
      </c>
      <c r="P13" s="18">
        <f t="shared" si="2"/>
        <v>4204057.1485714288</v>
      </c>
      <c r="Q13" s="18">
        <f t="shared" si="2"/>
        <v>4869002.3245714288</v>
      </c>
      <c r="R13" s="18">
        <f t="shared" si="2"/>
        <v>5577277.9742857143</v>
      </c>
      <c r="S13" s="18">
        <f t="shared" si="2"/>
        <v>5223189.5</v>
      </c>
      <c r="T13" s="18">
        <f t="shared" si="2"/>
        <v>4789596.5222857138</v>
      </c>
      <c r="U13" s="18">
        <f t="shared" si="2"/>
        <v>4293272.2394285714</v>
      </c>
      <c r="V13" s="18">
        <f t="shared" si="2"/>
        <v>3754030.8840000005</v>
      </c>
      <c r="W13" s="18">
        <f t="shared" si="2"/>
        <v>3226394.9599999995</v>
      </c>
      <c r="X13" s="18">
        <f t="shared" si="2"/>
        <v>2654840.7680000002</v>
      </c>
      <c r="Y13" s="18">
        <f t="shared" si="2"/>
        <v>2064403.9200000004</v>
      </c>
      <c r="Z13" s="18">
        <f t="shared" si="2"/>
        <v>1426913.6640000001</v>
      </c>
      <c r="AA13" s="18">
        <f t="shared" si="2"/>
        <v>739712.03200000001</v>
      </c>
    </row>
    <row r="15" spans="1:27" ht="15" customHeight="1" x14ac:dyDescent="0.25">
      <c r="A15" s="2" t="s">
        <v>127</v>
      </c>
      <c r="B15" s="2" t="s">
        <v>242</v>
      </c>
      <c r="C15" s="2"/>
      <c r="D15" s="23">
        <f>SUM(D17,D20,D22)</f>
        <v>1599458.7922127498</v>
      </c>
      <c r="E15" s="23">
        <f t="shared" ref="E15:AA15" si="3">SUM(E17,E20,E22)</f>
        <v>0</v>
      </c>
      <c r="F15" s="23">
        <f t="shared" si="3"/>
        <v>68841.587142857141</v>
      </c>
      <c r="G15" s="23">
        <f t="shared" si="3"/>
        <v>70840.82142857142</v>
      </c>
      <c r="H15" s="23">
        <f t="shared" si="3"/>
        <v>72812.695714285714</v>
      </c>
      <c r="I15" s="23">
        <f t="shared" si="3"/>
        <v>75492.102857142861</v>
      </c>
      <c r="J15" s="23">
        <f t="shared" si="3"/>
        <v>110312.26000000001</v>
      </c>
      <c r="K15" s="23">
        <f t="shared" si="3"/>
        <v>164203.56142857144</v>
      </c>
      <c r="L15" s="23">
        <f t="shared" si="3"/>
        <v>221911.76285714286</v>
      </c>
      <c r="M15" s="23">
        <f t="shared" si="3"/>
        <v>160700.67000000001</v>
      </c>
      <c r="N15" s="23">
        <f t="shared" si="3"/>
        <v>185127.09999999998</v>
      </c>
      <c r="O15" s="23">
        <f t="shared" si="3"/>
        <v>191939.59999999998</v>
      </c>
      <c r="P15" s="23">
        <f t="shared" si="3"/>
        <v>199002.8</v>
      </c>
      <c r="Q15" s="23">
        <f t="shared" si="3"/>
        <v>206325.9</v>
      </c>
      <c r="R15" s="23">
        <f t="shared" si="3"/>
        <v>213918.5</v>
      </c>
      <c r="S15" s="23">
        <f t="shared" si="3"/>
        <v>221790.5</v>
      </c>
      <c r="T15" s="23">
        <f t="shared" si="3"/>
        <v>183961.76</v>
      </c>
      <c r="U15" s="23">
        <f t="shared" si="3"/>
        <v>119207.09999999999</v>
      </c>
      <c r="V15" s="23">
        <f t="shared" si="3"/>
        <v>49437.54</v>
      </c>
      <c r="W15" s="23">
        <f t="shared" si="3"/>
        <v>25628.400000000001</v>
      </c>
      <c r="X15" s="23">
        <f t="shared" si="3"/>
        <v>0</v>
      </c>
      <c r="Y15" s="23">
        <f t="shared" si="3"/>
        <v>0</v>
      </c>
      <c r="Z15" s="23">
        <f t="shared" si="3"/>
        <v>0</v>
      </c>
      <c r="AA15" s="23">
        <f t="shared" si="3"/>
        <v>0</v>
      </c>
    </row>
    <row r="16" spans="1:27" x14ac:dyDescent="0.25">
      <c r="A16" t="s">
        <v>129</v>
      </c>
      <c r="B16" t="s">
        <v>12</v>
      </c>
      <c r="C16" t="s">
        <v>144</v>
      </c>
      <c r="D16" s="17">
        <v>30</v>
      </c>
      <c r="E16" s="17"/>
      <c r="F16" s="17">
        <f>$D$16/7</f>
        <v>4.2857142857142856</v>
      </c>
      <c r="G16" s="17">
        <f t="shared" ref="G16:L16" si="4">$D$16/7</f>
        <v>4.2857142857142856</v>
      </c>
      <c r="H16" s="17">
        <f t="shared" si="4"/>
        <v>4.2857142857142856</v>
      </c>
      <c r="I16" s="17">
        <f t="shared" si="4"/>
        <v>4.2857142857142856</v>
      </c>
      <c r="J16" s="17">
        <f t="shared" si="4"/>
        <v>4.2857142857142856</v>
      </c>
      <c r="K16" s="17">
        <f t="shared" si="4"/>
        <v>4.2857142857142856</v>
      </c>
      <c r="L16" s="17">
        <f t="shared" si="4"/>
        <v>4.2857142857142856</v>
      </c>
      <c r="M16" s="17"/>
      <c r="N16" s="17"/>
      <c r="O16" s="17"/>
      <c r="P16" s="17"/>
      <c r="Q16" s="17"/>
      <c r="R16" s="17"/>
      <c r="S16" s="17"/>
      <c r="T16" s="17"/>
      <c r="U16" s="17"/>
      <c r="V16" s="17"/>
      <c r="W16" s="17"/>
      <c r="X16" s="17"/>
      <c r="Y16" s="17"/>
      <c r="Z16" s="17"/>
      <c r="AA16" s="17"/>
    </row>
    <row r="17" spans="1:27" x14ac:dyDescent="0.25">
      <c r="A17" t="s">
        <v>130</v>
      </c>
      <c r="B17" t="s">
        <v>207</v>
      </c>
      <c r="C17" t="s">
        <v>120</v>
      </c>
      <c r="D17" s="18">
        <f>NPV(0.05,F17:AA17)</f>
        <v>229737.25543873728</v>
      </c>
      <c r="E17" s="18">
        <f>E16*E32</f>
        <v>0</v>
      </c>
      <c r="F17" s="18">
        <f>F16*F32</f>
        <v>36232.41428571428</v>
      </c>
      <c r="G17" s="18">
        <f t="shared" ref="G17:AA17" si="5">G16*G32</f>
        <v>37284.642857142855</v>
      </c>
      <c r="H17" s="18">
        <f t="shared" si="5"/>
        <v>38322.471428571429</v>
      </c>
      <c r="I17" s="18">
        <f t="shared" si="5"/>
        <v>39732.685714285712</v>
      </c>
      <c r="J17" s="18">
        <f t="shared" si="5"/>
        <v>41194.800000000003</v>
      </c>
      <c r="K17" s="18">
        <f t="shared" si="5"/>
        <v>42710.742857142854</v>
      </c>
      <c r="L17" s="18">
        <f t="shared" si="5"/>
        <v>44282.485714285714</v>
      </c>
      <c r="M17" s="18">
        <f t="shared" si="5"/>
        <v>0</v>
      </c>
      <c r="N17" s="18">
        <f t="shared" si="5"/>
        <v>0</v>
      </c>
      <c r="O17" s="18">
        <f t="shared" si="5"/>
        <v>0</v>
      </c>
      <c r="P17" s="18">
        <f t="shared" si="5"/>
        <v>0</v>
      </c>
      <c r="Q17" s="18">
        <f t="shared" si="5"/>
        <v>0</v>
      </c>
      <c r="R17" s="18">
        <f t="shared" si="5"/>
        <v>0</v>
      </c>
      <c r="S17" s="18">
        <f t="shared" si="5"/>
        <v>0</v>
      </c>
      <c r="T17" s="18">
        <f t="shared" si="5"/>
        <v>0</v>
      </c>
      <c r="U17" s="18">
        <f t="shared" si="5"/>
        <v>0</v>
      </c>
      <c r="V17" s="18">
        <f t="shared" si="5"/>
        <v>0</v>
      </c>
      <c r="W17" s="18">
        <f t="shared" si="5"/>
        <v>0</v>
      </c>
      <c r="X17" s="18">
        <f t="shared" si="5"/>
        <v>0</v>
      </c>
      <c r="Y17" s="18">
        <f t="shared" si="5"/>
        <v>0</v>
      </c>
      <c r="Z17" s="18">
        <f t="shared" si="5"/>
        <v>0</v>
      </c>
      <c r="AA17" s="18">
        <f t="shared" si="5"/>
        <v>0</v>
      </c>
    </row>
    <row r="18" spans="1:27" x14ac:dyDescent="0.25">
      <c r="A18" t="s">
        <v>131</v>
      </c>
      <c r="B18" s="1" t="s">
        <v>85</v>
      </c>
      <c r="C18" t="s">
        <v>144</v>
      </c>
      <c r="D18" s="17"/>
      <c r="E18" s="17"/>
      <c r="F18" s="17"/>
      <c r="G18" s="17"/>
      <c r="H18" s="17"/>
      <c r="I18" s="17"/>
      <c r="J18" s="17">
        <v>2</v>
      </c>
      <c r="K18" s="17">
        <v>3</v>
      </c>
      <c r="L18" s="17">
        <v>3</v>
      </c>
      <c r="M18" s="17">
        <v>1</v>
      </c>
      <c r="N18" s="17">
        <v>1</v>
      </c>
      <c r="O18" s="17"/>
      <c r="P18" s="17"/>
      <c r="Q18" s="17"/>
      <c r="R18" s="17"/>
      <c r="S18" s="17"/>
      <c r="T18" s="17"/>
      <c r="U18" s="17"/>
      <c r="V18" s="17"/>
      <c r="W18" s="17"/>
      <c r="X18" s="17"/>
      <c r="Y18" s="17"/>
      <c r="Z18" s="17"/>
      <c r="AA18" s="17"/>
    </row>
    <row r="19" spans="1:27" ht="30" x14ac:dyDescent="0.25">
      <c r="A19" t="s">
        <v>132</v>
      </c>
      <c r="B19" s="1" t="s">
        <v>55</v>
      </c>
      <c r="C19" t="s">
        <v>144</v>
      </c>
      <c r="D19" s="17">
        <v>10</v>
      </c>
      <c r="E19" s="17"/>
      <c r="F19" s="17"/>
      <c r="G19" s="17"/>
      <c r="H19" s="17"/>
      <c r="I19" s="17"/>
      <c r="J19" s="17">
        <f>J18</f>
        <v>2</v>
      </c>
      <c r="K19" s="17">
        <f>J19+K18</f>
        <v>5</v>
      </c>
      <c r="L19" s="17">
        <f t="shared" ref="L19:N19" si="6">K19+L18</f>
        <v>8</v>
      </c>
      <c r="M19" s="17">
        <f t="shared" si="6"/>
        <v>9</v>
      </c>
      <c r="N19" s="17">
        <f t="shared" si="6"/>
        <v>10</v>
      </c>
      <c r="O19" s="17">
        <f>N19</f>
        <v>10</v>
      </c>
      <c r="P19" s="17">
        <f t="shared" ref="P19:S19" si="7">O19</f>
        <v>10</v>
      </c>
      <c r="Q19" s="17">
        <f t="shared" si="7"/>
        <v>10</v>
      </c>
      <c r="R19" s="17">
        <f t="shared" si="7"/>
        <v>10</v>
      </c>
      <c r="S19" s="17">
        <f t="shared" si="7"/>
        <v>10</v>
      </c>
      <c r="T19" s="17">
        <f>$S$19-J19</f>
        <v>8</v>
      </c>
      <c r="U19" s="17">
        <f t="shared" ref="U19:W19" si="8">$S$19-K19</f>
        <v>5</v>
      </c>
      <c r="V19" s="17">
        <f t="shared" si="8"/>
        <v>2</v>
      </c>
      <c r="W19" s="17">
        <f t="shared" si="8"/>
        <v>1</v>
      </c>
      <c r="X19" s="17"/>
      <c r="Y19" s="17"/>
      <c r="Z19" s="17"/>
      <c r="AA19" s="17"/>
    </row>
    <row r="20" spans="1:27" x14ac:dyDescent="0.25">
      <c r="A20" t="s">
        <v>201</v>
      </c>
      <c r="B20" s="1" t="s">
        <v>208</v>
      </c>
      <c r="C20" t="s">
        <v>120</v>
      </c>
      <c r="D20" s="18">
        <f>NPV(0.05,F20:AA20)</f>
        <v>1162958.006879149</v>
      </c>
      <c r="E20" s="18">
        <f t="shared" ref="E20:I20" si="9">E19*E33</f>
        <v>0</v>
      </c>
      <c r="F20" s="18">
        <f t="shared" si="9"/>
        <v>0</v>
      </c>
      <c r="G20" s="18">
        <f t="shared" si="9"/>
        <v>0</v>
      </c>
      <c r="H20" s="18">
        <f t="shared" si="9"/>
        <v>0</v>
      </c>
      <c r="I20" s="18">
        <f t="shared" si="9"/>
        <v>0</v>
      </c>
      <c r="J20" s="18">
        <f>J19*J33</f>
        <v>32042.14</v>
      </c>
      <c r="K20" s="18">
        <f t="shared" ref="K20:AA20" si="10">K19*K33</f>
        <v>83053.150000000009</v>
      </c>
      <c r="L20" s="18">
        <f t="shared" si="10"/>
        <v>137775.04000000001</v>
      </c>
      <c r="M20" s="18">
        <f t="shared" si="10"/>
        <v>160700.67000000001</v>
      </c>
      <c r="N20" s="18">
        <f t="shared" si="10"/>
        <v>185127.09999999998</v>
      </c>
      <c r="O20" s="18">
        <f t="shared" si="10"/>
        <v>191939.59999999998</v>
      </c>
      <c r="P20" s="18">
        <f t="shared" si="10"/>
        <v>199002.8</v>
      </c>
      <c r="Q20" s="18">
        <f t="shared" si="10"/>
        <v>206325.9</v>
      </c>
      <c r="R20" s="18">
        <f t="shared" si="10"/>
        <v>213918.5</v>
      </c>
      <c r="S20" s="18">
        <f t="shared" si="10"/>
        <v>221790.5</v>
      </c>
      <c r="T20" s="18">
        <f t="shared" si="10"/>
        <v>183961.76</v>
      </c>
      <c r="U20" s="18">
        <f t="shared" si="10"/>
        <v>119207.09999999999</v>
      </c>
      <c r="V20" s="18">
        <f t="shared" si="10"/>
        <v>49437.54</v>
      </c>
      <c r="W20" s="18">
        <f t="shared" si="10"/>
        <v>25628.400000000001</v>
      </c>
      <c r="X20" s="18">
        <f t="shared" si="10"/>
        <v>0</v>
      </c>
      <c r="Y20" s="18">
        <f t="shared" si="10"/>
        <v>0</v>
      </c>
      <c r="Z20" s="18">
        <f t="shared" si="10"/>
        <v>0</v>
      </c>
      <c r="AA20" s="18">
        <f t="shared" si="10"/>
        <v>0</v>
      </c>
    </row>
    <row r="21" spans="1:27" ht="30" x14ac:dyDescent="0.25">
      <c r="A21" t="s">
        <v>133</v>
      </c>
      <c r="B21" s="1" t="s">
        <v>13</v>
      </c>
      <c r="C21" t="s">
        <v>144</v>
      </c>
      <c r="D21" s="17">
        <v>27</v>
      </c>
      <c r="E21" s="17"/>
      <c r="F21" s="17">
        <f>$D$21/7</f>
        <v>3.8571428571428572</v>
      </c>
      <c r="G21" s="17">
        <f t="shared" ref="G21:L21" si="11">$D$21/7</f>
        <v>3.8571428571428572</v>
      </c>
      <c r="H21" s="17">
        <f t="shared" si="11"/>
        <v>3.8571428571428572</v>
      </c>
      <c r="I21" s="17">
        <f t="shared" si="11"/>
        <v>3.8571428571428572</v>
      </c>
      <c r="J21" s="17">
        <f t="shared" si="11"/>
        <v>3.8571428571428572</v>
      </c>
      <c r="K21" s="17">
        <f t="shared" si="11"/>
        <v>3.8571428571428572</v>
      </c>
      <c r="L21" s="17">
        <f t="shared" si="11"/>
        <v>3.8571428571428572</v>
      </c>
      <c r="M21" s="17"/>
      <c r="N21" s="17"/>
      <c r="O21" s="17"/>
      <c r="P21" s="17"/>
      <c r="Q21" s="17"/>
      <c r="R21" s="17"/>
      <c r="S21" s="17"/>
      <c r="T21" s="17"/>
      <c r="U21" s="17"/>
      <c r="V21" s="17"/>
      <c r="W21" s="17"/>
      <c r="X21" s="17"/>
      <c r="Y21" s="17"/>
      <c r="Z21" s="17"/>
      <c r="AA21" s="17"/>
    </row>
    <row r="22" spans="1:27" x14ac:dyDescent="0.25">
      <c r="A22" t="s">
        <v>134</v>
      </c>
      <c r="B22" s="1" t="s">
        <v>209</v>
      </c>
      <c r="C22" t="s">
        <v>120</v>
      </c>
      <c r="D22" s="18">
        <f>NPV(0.05,F22:AA22)</f>
        <v>206763.52989486358</v>
      </c>
      <c r="E22" s="18">
        <f>E21*E32</f>
        <v>0</v>
      </c>
      <c r="F22" s="18">
        <f t="shared" ref="F22:AA22" si="12">F21*F32</f>
        <v>32609.172857142858</v>
      </c>
      <c r="G22" s="18">
        <f t="shared" si="12"/>
        <v>33556.178571428572</v>
      </c>
      <c r="H22" s="18">
        <f t="shared" si="12"/>
        <v>34490.224285714285</v>
      </c>
      <c r="I22" s="18">
        <f t="shared" si="12"/>
        <v>35759.417142857143</v>
      </c>
      <c r="J22" s="18">
        <f t="shared" si="12"/>
        <v>37075.320000000007</v>
      </c>
      <c r="K22" s="18">
        <f t="shared" si="12"/>
        <v>38439.66857142857</v>
      </c>
      <c r="L22" s="18">
        <f t="shared" si="12"/>
        <v>39854.237142857142</v>
      </c>
      <c r="M22" s="18">
        <f t="shared" si="12"/>
        <v>0</v>
      </c>
      <c r="N22" s="18">
        <f t="shared" si="12"/>
        <v>0</v>
      </c>
      <c r="O22" s="18">
        <f t="shared" si="12"/>
        <v>0</v>
      </c>
      <c r="P22" s="18">
        <f t="shared" si="12"/>
        <v>0</v>
      </c>
      <c r="Q22" s="18">
        <f t="shared" si="12"/>
        <v>0</v>
      </c>
      <c r="R22" s="18">
        <f t="shared" si="12"/>
        <v>0</v>
      </c>
      <c r="S22" s="18">
        <f t="shared" si="12"/>
        <v>0</v>
      </c>
      <c r="T22" s="18">
        <f t="shared" si="12"/>
        <v>0</v>
      </c>
      <c r="U22" s="18">
        <f t="shared" si="12"/>
        <v>0</v>
      </c>
      <c r="V22" s="18">
        <f t="shared" si="12"/>
        <v>0</v>
      </c>
      <c r="W22" s="18">
        <f t="shared" si="12"/>
        <v>0</v>
      </c>
      <c r="X22" s="18">
        <f t="shared" si="12"/>
        <v>0</v>
      </c>
      <c r="Y22" s="18">
        <f t="shared" si="12"/>
        <v>0</v>
      </c>
      <c r="Z22" s="18">
        <f t="shared" si="12"/>
        <v>0</v>
      </c>
      <c r="AA22" s="18">
        <f t="shared" si="12"/>
        <v>0</v>
      </c>
    </row>
    <row r="24" spans="1:27" ht="15" customHeight="1" x14ac:dyDescent="0.25">
      <c r="A24" s="2" t="s">
        <v>135</v>
      </c>
      <c r="B24" s="2" t="s">
        <v>128</v>
      </c>
      <c r="C24" s="2"/>
      <c r="D24" s="23">
        <f>SUM(D26,D29)</f>
        <v>28579671.479717456</v>
      </c>
      <c r="E24" s="23">
        <f t="shared" ref="E24:AA24" si="13">SUM(E26,E29)</f>
        <v>0</v>
      </c>
      <c r="F24" s="23">
        <f t="shared" si="13"/>
        <v>3681.1285714285714</v>
      </c>
      <c r="G24" s="23">
        <f t="shared" si="13"/>
        <v>7499.5714285714284</v>
      </c>
      <c r="H24" s="23">
        <f t="shared" si="13"/>
        <v>11423.7</v>
      </c>
      <c r="I24" s="23">
        <f t="shared" si="13"/>
        <v>401630.52342857141</v>
      </c>
      <c r="J24" s="23">
        <f t="shared" si="13"/>
        <v>820470.96228571434</v>
      </c>
      <c r="K24" s="23">
        <f t="shared" si="13"/>
        <v>1269522.5794285715</v>
      </c>
      <c r="L24" s="23">
        <f t="shared" si="13"/>
        <v>1750441.3960000002</v>
      </c>
      <c r="M24" s="23">
        <f t="shared" si="13"/>
        <v>2260592.9000000004</v>
      </c>
      <c r="N24" s="23">
        <f t="shared" si="13"/>
        <v>2805920.6640000003</v>
      </c>
      <c r="O24" s="23">
        <f t="shared" si="13"/>
        <v>3388325.4479999999</v>
      </c>
      <c r="P24" s="23">
        <f t="shared" si="13"/>
        <v>4005054.3485714286</v>
      </c>
      <c r="Q24" s="23">
        <f t="shared" si="13"/>
        <v>4662676.4245714284</v>
      </c>
      <c r="R24" s="23">
        <f t="shared" si="13"/>
        <v>5363359.4742857143</v>
      </c>
      <c r="S24" s="23">
        <f t="shared" si="13"/>
        <v>5001399</v>
      </c>
      <c r="T24" s="23">
        <f t="shared" si="13"/>
        <v>4605634.762285714</v>
      </c>
      <c r="U24" s="23">
        <f t="shared" si="13"/>
        <v>4174065.1394285718</v>
      </c>
      <c r="V24" s="23">
        <f t="shared" si="13"/>
        <v>3704593.3440000005</v>
      </c>
      <c r="W24" s="23">
        <f t="shared" si="13"/>
        <v>3200766.5599999996</v>
      </c>
      <c r="X24" s="23">
        <f t="shared" si="13"/>
        <v>2654840.7680000002</v>
      </c>
      <c r="Y24" s="23">
        <f t="shared" si="13"/>
        <v>2064403.9200000004</v>
      </c>
      <c r="Z24" s="23">
        <f t="shared" si="13"/>
        <v>1426913.6640000001</v>
      </c>
      <c r="AA24" s="23">
        <f t="shared" si="13"/>
        <v>739712.03200000001</v>
      </c>
    </row>
    <row r="25" spans="1:27" x14ac:dyDescent="0.25">
      <c r="A25" s="7" t="s">
        <v>136</v>
      </c>
      <c r="B25" t="s">
        <v>54</v>
      </c>
      <c r="C25" t="s">
        <v>144</v>
      </c>
      <c r="D25" s="17"/>
      <c r="E25" s="17"/>
      <c r="F25" s="17">
        <f>F16*3</f>
        <v>12.857142857142858</v>
      </c>
      <c r="G25" s="17">
        <f>F25+$F$16*3</f>
        <v>25.714285714285715</v>
      </c>
      <c r="H25" s="17">
        <f t="shared" ref="H25:L25" si="14">G25+$F$16*3</f>
        <v>38.571428571428569</v>
      </c>
      <c r="I25" s="17">
        <f t="shared" si="14"/>
        <v>51.428571428571431</v>
      </c>
      <c r="J25" s="17">
        <f t="shared" si="14"/>
        <v>64.285714285714292</v>
      </c>
      <c r="K25" s="17">
        <f t="shared" si="14"/>
        <v>77.142857142857153</v>
      </c>
      <c r="L25" s="17">
        <f t="shared" si="14"/>
        <v>90.000000000000014</v>
      </c>
      <c r="M25" s="17">
        <f>L25</f>
        <v>90.000000000000014</v>
      </c>
      <c r="N25" s="17">
        <f t="shared" ref="N25:O25" si="15">M25</f>
        <v>90.000000000000014</v>
      </c>
      <c r="O25" s="17">
        <f t="shared" si="15"/>
        <v>90.000000000000014</v>
      </c>
      <c r="P25" s="17">
        <f>K25</f>
        <v>77.142857142857153</v>
      </c>
      <c r="Q25" s="17">
        <f>J25</f>
        <v>64.285714285714292</v>
      </c>
      <c r="R25" s="17">
        <f>I25</f>
        <v>51.428571428571431</v>
      </c>
      <c r="S25" s="17">
        <f>H25</f>
        <v>38.571428571428569</v>
      </c>
      <c r="T25" s="17">
        <f>G25</f>
        <v>25.714285714285715</v>
      </c>
      <c r="U25" s="17">
        <f>F25</f>
        <v>12.857142857142858</v>
      </c>
      <c r="V25" s="17"/>
      <c r="W25" s="17"/>
      <c r="X25" s="17"/>
      <c r="Y25" s="17"/>
      <c r="Z25" s="17"/>
      <c r="AA25" s="17"/>
    </row>
    <row r="26" spans="1:27" x14ac:dyDescent="0.25">
      <c r="A26" s="7" t="s">
        <v>140</v>
      </c>
      <c r="B26" t="s">
        <v>199</v>
      </c>
      <c r="C26" t="s">
        <v>120</v>
      </c>
      <c r="D26" s="18">
        <f>NPV(0.05,F26:AA26)</f>
        <v>205478.41513505208</v>
      </c>
      <c r="E26" s="18">
        <f>E25*E34</f>
        <v>0</v>
      </c>
      <c r="F26" s="18">
        <f t="shared" ref="F26:AA26" si="16">F25*F34</f>
        <v>3681.1285714285714</v>
      </c>
      <c r="G26" s="18">
        <f t="shared" si="16"/>
        <v>7499.5714285714284</v>
      </c>
      <c r="H26" s="18">
        <f t="shared" si="16"/>
        <v>11423.7</v>
      </c>
      <c r="I26" s="18">
        <f t="shared" si="16"/>
        <v>15655.37142857143</v>
      </c>
      <c r="J26" s="18">
        <f t="shared" si="16"/>
        <v>20113.714285714286</v>
      </c>
      <c r="K26" s="18">
        <f t="shared" si="16"/>
        <v>24808.37142857143</v>
      </c>
      <c r="L26" s="18">
        <f t="shared" si="16"/>
        <v>29747.7</v>
      </c>
      <c r="M26" s="18">
        <f t="shared" si="16"/>
        <v>30575.700000000008</v>
      </c>
      <c r="N26" s="18">
        <f t="shared" si="16"/>
        <v>31426.200000000004</v>
      </c>
      <c r="O26" s="18">
        <f t="shared" si="16"/>
        <v>32301.000000000004</v>
      </c>
      <c r="P26" s="18">
        <f t="shared" si="16"/>
        <v>28457.228571428575</v>
      </c>
      <c r="Q26" s="18">
        <f t="shared" si="16"/>
        <v>24373.928571428572</v>
      </c>
      <c r="R26" s="18">
        <f t="shared" si="16"/>
        <v>20041.714285714286</v>
      </c>
      <c r="S26" s="18">
        <f t="shared" si="16"/>
        <v>15449.4</v>
      </c>
      <c r="T26" s="18">
        <f t="shared" si="16"/>
        <v>10586.314285714287</v>
      </c>
      <c r="U26" s="18">
        <f t="shared" si="16"/>
        <v>5440.3714285714286</v>
      </c>
      <c r="V26" s="18">
        <f t="shared" si="16"/>
        <v>0</v>
      </c>
      <c r="W26" s="18">
        <f t="shared" si="16"/>
        <v>0</v>
      </c>
      <c r="X26" s="18">
        <f t="shared" si="16"/>
        <v>0</v>
      </c>
      <c r="Y26" s="18">
        <f t="shared" si="16"/>
        <v>0</v>
      </c>
      <c r="Z26" s="18">
        <f t="shared" si="16"/>
        <v>0</v>
      </c>
      <c r="AA26" s="18">
        <f t="shared" si="16"/>
        <v>0</v>
      </c>
    </row>
    <row r="27" spans="1:27" x14ac:dyDescent="0.25">
      <c r="A27" s="7" t="s">
        <v>137</v>
      </c>
      <c r="B27" t="s">
        <v>83</v>
      </c>
      <c r="C27" t="s">
        <v>144</v>
      </c>
      <c r="D27" s="17">
        <v>1600</v>
      </c>
      <c r="E27" s="17"/>
      <c r="F27" s="17"/>
      <c r="G27" s="17"/>
      <c r="H27" s="17"/>
      <c r="I27" s="17">
        <v>160</v>
      </c>
      <c r="J27" s="17">
        <v>160</v>
      </c>
      <c r="K27" s="17">
        <v>160</v>
      </c>
      <c r="L27" s="17">
        <v>160</v>
      </c>
      <c r="M27" s="17">
        <v>160</v>
      </c>
      <c r="N27" s="17">
        <v>160</v>
      </c>
      <c r="O27" s="17">
        <v>160</v>
      </c>
      <c r="P27" s="17">
        <v>160</v>
      </c>
      <c r="Q27" s="17">
        <v>160</v>
      </c>
      <c r="R27" s="17">
        <v>160</v>
      </c>
      <c r="S27" s="17"/>
      <c r="T27" s="17"/>
      <c r="U27" s="17"/>
      <c r="V27" s="17"/>
      <c r="W27" s="17"/>
      <c r="X27" s="17"/>
      <c r="Y27" s="17"/>
      <c r="Z27" s="17"/>
      <c r="AA27" s="17"/>
    </row>
    <row r="28" spans="1:27" x14ac:dyDescent="0.25">
      <c r="A28" s="7" t="s">
        <v>139</v>
      </c>
      <c r="B28" t="s">
        <v>200</v>
      </c>
      <c r="C28" t="s">
        <v>144</v>
      </c>
      <c r="D28" s="17">
        <v>1600</v>
      </c>
      <c r="E28" s="17"/>
      <c r="F28" s="17"/>
      <c r="G28" s="17"/>
      <c r="H28" s="17"/>
      <c r="I28" s="17">
        <f>I27</f>
        <v>160</v>
      </c>
      <c r="J28" s="17">
        <f t="shared" ref="J28:R28" si="17">I28+J27</f>
        <v>320</v>
      </c>
      <c r="K28" s="17">
        <f t="shared" si="17"/>
        <v>480</v>
      </c>
      <c r="L28" s="17">
        <f t="shared" si="17"/>
        <v>640</v>
      </c>
      <c r="M28" s="17">
        <f t="shared" si="17"/>
        <v>800</v>
      </c>
      <c r="N28" s="17">
        <f t="shared" si="17"/>
        <v>960</v>
      </c>
      <c r="O28" s="17">
        <f t="shared" si="17"/>
        <v>1120</v>
      </c>
      <c r="P28" s="17">
        <f t="shared" si="17"/>
        <v>1280</v>
      </c>
      <c r="Q28" s="17">
        <f t="shared" si="17"/>
        <v>1440</v>
      </c>
      <c r="R28" s="17">
        <f t="shared" si="17"/>
        <v>1600</v>
      </c>
      <c r="S28" s="17">
        <f t="shared" ref="S28:AA28" si="18">R28-I27</f>
        <v>1440</v>
      </c>
      <c r="T28" s="17">
        <f t="shared" si="18"/>
        <v>1280</v>
      </c>
      <c r="U28" s="17">
        <f t="shared" si="18"/>
        <v>1120</v>
      </c>
      <c r="V28" s="17">
        <f t="shared" si="18"/>
        <v>960</v>
      </c>
      <c r="W28" s="17">
        <f t="shared" si="18"/>
        <v>800</v>
      </c>
      <c r="X28" s="17">
        <f t="shared" si="18"/>
        <v>640</v>
      </c>
      <c r="Y28" s="17">
        <f t="shared" si="18"/>
        <v>480</v>
      </c>
      <c r="Z28" s="17">
        <f t="shared" si="18"/>
        <v>320</v>
      </c>
      <c r="AA28" s="17">
        <f t="shared" si="18"/>
        <v>160</v>
      </c>
    </row>
    <row r="29" spans="1:27" x14ac:dyDescent="0.25">
      <c r="A29" s="7" t="s">
        <v>197</v>
      </c>
      <c r="B29" t="s">
        <v>198</v>
      </c>
      <c r="C29" t="s">
        <v>120</v>
      </c>
      <c r="D29" s="18">
        <f>NPV(0.05,F29:AA29)</f>
        <v>28374193.064582404</v>
      </c>
      <c r="E29" s="18">
        <f>E28*0.45*E35+E28*0.4*0.4*E36</f>
        <v>0</v>
      </c>
      <c r="F29" s="18">
        <f t="shared" ref="F29:AA29" si="19">F28*0.45*F35+F28*0.4*0.4*F36</f>
        <v>0</v>
      </c>
      <c r="G29" s="18">
        <f t="shared" si="19"/>
        <v>0</v>
      </c>
      <c r="H29" s="18">
        <f t="shared" si="19"/>
        <v>0</v>
      </c>
      <c r="I29" s="18">
        <f t="shared" si="19"/>
        <v>385975.152</v>
      </c>
      <c r="J29" s="18">
        <f t="shared" si="19"/>
        <v>800357.24800000002</v>
      </c>
      <c r="K29" s="18">
        <f t="shared" si="19"/>
        <v>1244714.2080000001</v>
      </c>
      <c r="L29" s="18">
        <f t="shared" si="19"/>
        <v>1720693.6960000002</v>
      </c>
      <c r="M29" s="18">
        <f t="shared" si="19"/>
        <v>2230017.2000000002</v>
      </c>
      <c r="N29" s="18">
        <f t="shared" si="19"/>
        <v>2774494.4640000002</v>
      </c>
      <c r="O29" s="18">
        <f t="shared" si="19"/>
        <v>3356024.4479999999</v>
      </c>
      <c r="P29" s="18">
        <f t="shared" si="19"/>
        <v>3976597.12</v>
      </c>
      <c r="Q29" s="18">
        <f t="shared" si="19"/>
        <v>4638302.4960000003</v>
      </c>
      <c r="R29" s="18">
        <f t="shared" si="19"/>
        <v>5343317.76</v>
      </c>
      <c r="S29" s="18">
        <f t="shared" si="19"/>
        <v>4985949.5999999996</v>
      </c>
      <c r="T29" s="18">
        <f t="shared" si="19"/>
        <v>4595048.4479999999</v>
      </c>
      <c r="U29" s="18">
        <f t="shared" si="19"/>
        <v>4168624.7680000002</v>
      </c>
      <c r="V29" s="18">
        <f t="shared" si="19"/>
        <v>3704593.3440000005</v>
      </c>
      <c r="W29" s="18">
        <f t="shared" si="19"/>
        <v>3200766.5599999996</v>
      </c>
      <c r="X29" s="18">
        <f t="shared" si="19"/>
        <v>2654840.7680000002</v>
      </c>
      <c r="Y29" s="18">
        <f t="shared" si="19"/>
        <v>2064403.9200000004</v>
      </c>
      <c r="Z29" s="18">
        <f t="shared" si="19"/>
        <v>1426913.6640000001</v>
      </c>
      <c r="AA29" s="18">
        <f t="shared" si="19"/>
        <v>739712.03200000001</v>
      </c>
    </row>
    <row r="31" spans="1:27" ht="17.25" customHeight="1" x14ac:dyDescent="0.25">
      <c r="A31" s="2" t="s">
        <v>147</v>
      </c>
      <c r="B31" s="2" t="s">
        <v>6</v>
      </c>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5">
      <c r="A32" s="7" t="s">
        <v>148</v>
      </c>
      <c r="B32" t="s">
        <v>7</v>
      </c>
      <c r="C32" t="s">
        <v>120</v>
      </c>
      <c r="D32" s="19"/>
      <c r="E32" s="17">
        <v>8147.13</v>
      </c>
      <c r="F32" s="17">
        <v>8454.23</v>
      </c>
      <c r="G32" s="17">
        <v>8699.75</v>
      </c>
      <c r="H32" s="17">
        <v>8941.91</v>
      </c>
      <c r="I32" s="17">
        <v>9270.9599999999991</v>
      </c>
      <c r="J32" s="17">
        <v>9612.1200000000008</v>
      </c>
      <c r="K32" s="17">
        <v>9965.84</v>
      </c>
      <c r="L32" s="17">
        <v>10332.58</v>
      </c>
      <c r="M32" s="17"/>
      <c r="N32" s="17"/>
      <c r="O32" s="17"/>
      <c r="P32" s="17"/>
      <c r="Q32" s="17"/>
      <c r="R32" s="17"/>
      <c r="S32" s="17"/>
      <c r="T32" s="17"/>
      <c r="U32" s="17"/>
      <c r="V32" s="17"/>
      <c r="W32" s="17"/>
      <c r="X32" s="17"/>
      <c r="Y32" s="17"/>
      <c r="Z32" s="17"/>
      <c r="AA32" s="17"/>
    </row>
    <row r="33" spans="1:38" ht="30" x14ac:dyDescent="0.25">
      <c r="A33" s="7" t="s">
        <v>149</v>
      </c>
      <c r="B33" s="1" t="s">
        <v>14</v>
      </c>
      <c r="C33" t="s">
        <v>120</v>
      </c>
      <c r="D33" s="19"/>
      <c r="E33" s="17">
        <v>13579.28</v>
      </c>
      <c r="F33" s="17">
        <v>14091.14</v>
      </c>
      <c r="G33" s="17">
        <v>14500.36</v>
      </c>
      <c r="H33" s="17">
        <v>14903.98</v>
      </c>
      <c r="I33" s="17">
        <v>15452.43</v>
      </c>
      <c r="J33" s="17">
        <v>16021.07</v>
      </c>
      <c r="K33" s="17">
        <v>16610.63</v>
      </c>
      <c r="L33" s="17">
        <v>17221.88</v>
      </c>
      <c r="M33" s="17">
        <v>17855.63</v>
      </c>
      <c r="N33" s="17">
        <v>18512.71</v>
      </c>
      <c r="O33" s="17">
        <v>19193.96</v>
      </c>
      <c r="P33" s="17">
        <v>19900.28</v>
      </c>
      <c r="Q33" s="17">
        <v>20632.59</v>
      </c>
      <c r="R33" s="17">
        <v>21391.85</v>
      </c>
      <c r="S33" s="17">
        <v>22179.05</v>
      </c>
      <c r="T33" s="17">
        <v>22995.22</v>
      </c>
      <c r="U33" s="17">
        <v>23841.42</v>
      </c>
      <c r="V33" s="17">
        <v>24718.77</v>
      </c>
      <c r="W33" s="17">
        <v>25628.400000000001</v>
      </c>
      <c r="X33" s="17"/>
      <c r="Y33" s="17"/>
      <c r="Z33" s="17"/>
      <c r="AA33" s="17"/>
      <c r="AB33" s="3"/>
      <c r="AC33" s="3"/>
      <c r="AD33" s="3"/>
      <c r="AE33" s="3"/>
      <c r="AF33" s="3"/>
      <c r="AG33" s="3"/>
      <c r="AH33" s="3"/>
      <c r="AI33" s="3"/>
      <c r="AJ33" s="3"/>
      <c r="AK33" s="3"/>
      <c r="AL33" s="3"/>
    </row>
    <row r="34" spans="1:38" x14ac:dyDescent="0.25">
      <c r="A34" s="7" t="s">
        <v>150</v>
      </c>
      <c r="B34" t="s">
        <v>46</v>
      </c>
      <c r="C34" t="s">
        <v>120</v>
      </c>
      <c r="D34" s="19"/>
      <c r="E34" s="17">
        <v>279.67</v>
      </c>
      <c r="F34" s="17">
        <v>286.31</v>
      </c>
      <c r="G34" s="17">
        <v>291.64999999999998</v>
      </c>
      <c r="H34" s="17">
        <v>296.17</v>
      </c>
      <c r="I34" s="17">
        <v>304.41000000000003</v>
      </c>
      <c r="J34" s="17">
        <v>312.88</v>
      </c>
      <c r="K34" s="17">
        <v>321.58999999999997</v>
      </c>
      <c r="L34" s="17">
        <v>330.53</v>
      </c>
      <c r="M34" s="17">
        <v>339.73</v>
      </c>
      <c r="N34" s="17">
        <v>349.18</v>
      </c>
      <c r="O34" s="17">
        <v>358.9</v>
      </c>
      <c r="P34" s="17">
        <v>368.89</v>
      </c>
      <c r="Q34" s="17">
        <v>379.15</v>
      </c>
      <c r="R34" s="17">
        <v>389.7</v>
      </c>
      <c r="S34" s="17">
        <v>400.54</v>
      </c>
      <c r="T34" s="17">
        <v>411.69</v>
      </c>
      <c r="U34" s="17">
        <v>423.14</v>
      </c>
      <c r="V34" s="17"/>
      <c r="W34" s="17"/>
      <c r="X34" s="17"/>
      <c r="Y34" s="17"/>
      <c r="Z34" s="17"/>
      <c r="AA34" s="17"/>
    </row>
    <row r="35" spans="1:38" ht="30" x14ac:dyDescent="0.25">
      <c r="A35" s="7" t="s">
        <v>151</v>
      </c>
      <c r="B35" s="1" t="s">
        <v>62</v>
      </c>
      <c r="C35" t="s">
        <v>120</v>
      </c>
      <c r="D35" s="19"/>
      <c r="E35" s="17">
        <v>915.36</v>
      </c>
      <c r="F35" s="17">
        <v>949.87</v>
      </c>
      <c r="G35" s="17">
        <v>977.45</v>
      </c>
      <c r="H35" s="17">
        <v>1004.66</v>
      </c>
      <c r="I35" s="17">
        <v>1041.6300000000001</v>
      </c>
      <c r="J35" s="17">
        <v>1079.96</v>
      </c>
      <c r="K35" s="17">
        <v>1119.7</v>
      </c>
      <c r="L35" s="17">
        <v>1160.9100000000001</v>
      </c>
      <c r="M35" s="17">
        <v>1203.6300000000001</v>
      </c>
      <c r="N35" s="17">
        <v>1247.92</v>
      </c>
      <c r="O35" s="17">
        <v>1293.8399999999999</v>
      </c>
      <c r="P35" s="17">
        <v>1341.45</v>
      </c>
      <c r="Q35" s="17">
        <v>1390.82</v>
      </c>
      <c r="R35" s="17">
        <v>1442</v>
      </c>
      <c r="S35" s="17">
        <v>1495.06</v>
      </c>
      <c r="T35" s="17">
        <v>1550.08</v>
      </c>
      <c r="U35" s="17">
        <v>1607.12</v>
      </c>
      <c r="V35" s="17">
        <v>1666.26</v>
      </c>
      <c r="W35" s="17">
        <v>1727.58</v>
      </c>
      <c r="X35" s="17">
        <v>1791.15</v>
      </c>
      <c r="Y35" s="17">
        <v>1857.07</v>
      </c>
      <c r="Z35" s="17">
        <v>1925.4</v>
      </c>
      <c r="AA35" s="17">
        <v>1996.26</v>
      </c>
      <c r="AB35" s="3"/>
    </row>
    <row r="36" spans="1:38" ht="30" x14ac:dyDescent="0.25">
      <c r="A36" s="7" t="s">
        <v>152</v>
      </c>
      <c r="B36" s="1" t="s">
        <v>44</v>
      </c>
      <c r="C36" t="s">
        <v>120</v>
      </c>
      <c r="D36" s="19"/>
      <c r="E36" s="17">
        <v>10675.04</v>
      </c>
      <c r="F36" s="17">
        <v>11077.42</v>
      </c>
      <c r="G36" s="17">
        <v>11399.13</v>
      </c>
      <c r="H36" s="17">
        <v>11716.42</v>
      </c>
      <c r="I36" s="17">
        <v>12147.57</v>
      </c>
      <c r="J36" s="17">
        <v>12594.59</v>
      </c>
      <c r="K36" s="17">
        <v>13058.06</v>
      </c>
      <c r="L36" s="17">
        <v>13538.59</v>
      </c>
      <c r="M36" s="17">
        <v>14036.8</v>
      </c>
      <c r="N36" s="17">
        <v>14553.34</v>
      </c>
      <c r="O36" s="17">
        <v>15088.89</v>
      </c>
      <c r="P36" s="17">
        <v>15644.15</v>
      </c>
      <c r="Q36" s="17">
        <v>16219.84</v>
      </c>
      <c r="R36" s="17">
        <v>16816.71</v>
      </c>
      <c r="S36" s="17">
        <v>17435.55</v>
      </c>
      <c r="T36" s="17">
        <v>18077.16</v>
      </c>
      <c r="U36" s="17">
        <v>18742.39</v>
      </c>
      <c r="V36" s="17">
        <v>19432.09</v>
      </c>
      <c r="W36" s="17">
        <v>20147.169999999998</v>
      </c>
      <c r="X36" s="17">
        <v>20888.57</v>
      </c>
      <c r="Y36" s="17">
        <v>21657.25</v>
      </c>
      <c r="Z36" s="17">
        <v>22454.22</v>
      </c>
      <c r="AA36" s="17">
        <v>23280.52</v>
      </c>
      <c r="AB36" s="3"/>
    </row>
    <row r="38" spans="1:38" ht="15" customHeight="1" x14ac:dyDescent="0.25">
      <c r="A38" s="2" t="s">
        <v>155</v>
      </c>
      <c r="B38" s="36" t="s">
        <v>277</v>
      </c>
      <c r="C38" s="2"/>
      <c r="D38" s="2"/>
      <c r="E38" s="2"/>
      <c r="F38" s="2"/>
      <c r="G38" s="2"/>
      <c r="H38" s="2"/>
      <c r="I38" s="2"/>
      <c r="J38" s="2"/>
      <c r="K38" s="2"/>
      <c r="L38" s="2"/>
      <c r="M38" s="2"/>
      <c r="N38" s="2"/>
      <c r="O38" s="2"/>
      <c r="P38" s="2"/>
      <c r="Q38" s="2"/>
      <c r="R38" s="2"/>
      <c r="S38" s="2"/>
      <c r="T38" s="2"/>
      <c r="U38" s="2"/>
      <c r="V38" s="2"/>
      <c r="W38" s="2"/>
      <c r="X38" s="2"/>
      <c r="Y38" s="2"/>
      <c r="Z38" s="2"/>
      <c r="AA38" s="2"/>
    </row>
    <row r="39" spans="1:38" ht="44.25" customHeight="1" x14ac:dyDescent="0.25">
      <c r="A39" t="s">
        <v>156</v>
      </c>
      <c r="B39" s="51" t="s">
        <v>84</v>
      </c>
      <c r="C39" s="51"/>
      <c r="D39" s="51"/>
      <c r="E39" s="51"/>
      <c r="F39" s="51"/>
      <c r="G39" s="51"/>
      <c r="H39" s="51"/>
      <c r="I39" s="51"/>
      <c r="J39" s="51"/>
      <c r="K39" s="51"/>
      <c r="L39" s="51"/>
      <c r="M39" s="51"/>
      <c r="N39" s="51"/>
      <c r="O39" s="51"/>
      <c r="P39" s="51"/>
      <c r="Q39" s="51"/>
      <c r="R39" s="51"/>
      <c r="S39" s="51"/>
      <c r="T39" s="51"/>
      <c r="U39" s="51"/>
      <c r="V39" s="51"/>
      <c r="W39" s="51"/>
    </row>
    <row r="40" spans="1:38" x14ac:dyDescent="0.25">
      <c r="A40" t="s">
        <v>157</v>
      </c>
      <c r="B40" t="s">
        <v>86</v>
      </c>
    </row>
  </sheetData>
  <mergeCells count="6">
    <mergeCell ref="B2:B3"/>
    <mergeCell ref="D2:D3"/>
    <mergeCell ref="B39:W39"/>
    <mergeCell ref="F1:AA1"/>
    <mergeCell ref="A1:A3"/>
    <mergeCell ref="C2:C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Bendros prielaidos ir santr.</vt:lpstr>
      <vt:lpstr>Taikomieji MTEP</vt:lpstr>
      <vt:lpstr>Mokslo tarptautiškumas</vt:lpstr>
      <vt:lpstr>Žinių perdavimas ir komercinim.</vt:lpstr>
      <vt:lpstr>Tyrėjo karjera</vt:lpstr>
      <vt:lpstr>Europos debesis</vt:lpstr>
      <vt:lpstr>MTEP verslumas</vt:lpstr>
      <vt:lpstr>Pagalba švietimo spec.</vt:lpstr>
      <vt:lpstr>Tyrimai švietimui</vt:lpstr>
      <vt:lpstr>Ankstinimas</vt:lpstr>
      <vt:lpstr>Švietimo įtrauktis</vt:lpstr>
      <vt:lpstr>Ikimokyklinis ir VDM</vt:lpstr>
      <vt:lpstr>Paskatos mokytis</vt:lpstr>
      <vt:lpstr>Švietimo inovacijos</vt:lpstr>
      <vt:lpstr>Dalyvavimo MVG plėtra</vt:lpstr>
      <vt:lpstr>Suaugusiųjų įtrauktis</vt:lpstr>
      <vt:lpstr>Infrastruktura ir susisiek</vt:lpstr>
      <vt:lpstr>Priemones ir iranga</vt:lpstr>
      <vt:lpstr>Svietimo pagalba</vt:lpstr>
      <vt:lpstr>Profesiniu infra</vt:lpstr>
      <vt:lpstr>PRC infra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dc:creator>
  <cp:lastModifiedBy>Smart Continent</cp:lastModifiedBy>
  <dcterms:created xsi:type="dcterms:W3CDTF">2015-06-05T18:17:20Z</dcterms:created>
  <dcterms:modified xsi:type="dcterms:W3CDTF">2021-09-27T09:06:42Z</dcterms:modified>
</cp:coreProperties>
</file>