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0370" yWindow="-120" windowWidth="20730" windowHeight="11760" tabRatio="799"/>
  </bookViews>
  <sheets>
    <sheet name="2022 m. plano įgyvendinimas" sheetId="1" r:id="rId1"/>
    <sheet name="Apibendrinimas" sheetId="2" r:id="rId2"/>
  </sheets>
  <definedNames>
    <definedName name="_xlnm._FilterDatabase" localSheetId="0" hidden="1">'2022 m. plano įgyvendinimas'!$A$3:$AC$165</definedName>
    <definedName name="_xlnm.Print_Area" localSheetId="0">'2022 m. plano įgyvendinimas'!$A$1:$V$163</definedName>
  </definedNames>
  <calcPr calcId="145621"/>
</workbook>
</file>

<file path=xl/calcChain.xml><?xml version="1.0" encoding="utf-8"?>
<calcChain xmlns="http://schemas.openxmlformats.org/spreadsheetml/2006/main">
  <c r="G25" i="2" l="1"/>
  <c r="F3" i="2"/>
  <c r="D5" i="2"/>
  <c r="D6" i="2"/>
  <c r="D7" i="2"/>
  <c r="D8" i="2"/>
  <c r="D9" i="2"/>
  <c r="D10" i="2"/>
  <c r="D11" i="2"/>
  <c r="D12" i="2"/>
  <c r="AA71" i="1"/>
  <c r="E26" i="2" l="1"/>
  <c r="AA153" i="1" l="1"/>
  <c r="F18" i="2" l="1"/>
  <c r="G29" i="2" l="1"/>
  <c r="F29" i="2"/>
  <c r="D29" i="2"/>
  <c r="G28" i="2"/>
  <c r="F28" i="2"/>
  <c r="D28" i="2"/>
  <c r="G27" i="2"/>
  <c r="F27" i="2"/>
  <c r="D27" i="2"/>
  <c r="G18" i="2"/>
  <c r="D18" i="2"/>
  <c r="G26" i="2"/>
  <c r="F26" i="2"/>
  <c r="D25" i="2"/>
  <c r="G24" i="2"/>
  <c r="G23" i="2"/>
  <c r="F23" i="2"/>
  <c r="D23" i="2"/>
  <c r="E23" i="2" s="1"/>
  <c r="G21" i="2"/>
  <c r="F21" i="2"/>
  <c r="D21" i="2"/>
  <c r="G20" i="2"/>
  <c r="F20" i="2"/>
  <c r="D20" i="2"/>
  <c r="G10" i="2"/>
  <c r="G7" i="2"/>
  <c r="G2" i="2"/>
  <c r="F10" i="2"/>
  <c r="F7" i="2"/>
  <c r="F2" i="2"/>
  <c r="D1" i="2"/>
  <c r="A11" i="2"/>
  <c r="A10" i="2"/>
  <c r="A7" i="2"/>
  <c r="AA30" i="1" l="1"/>
  <c r="V27" i="1" l="1"/>
  <c r="AA75" i="1"/>
  <c r="V157" i="1"/>
  <c r="AA104" i="1" l="1"/>
  <c r="AA59" i="1" l="1"/>
  <c r="AB59" i="1"/>
  <c r="AB163" i="1" s="1"/>
  <c r="D2" i="2" l="1"/>
  <c r="D26" i="2"/>
  <c r="AA74" i="1"/>
  <c r="AA125" i="1"/>
  <c r="AA91" i="1"/>
  <c r="V134" i="1" l="1"/>
  <c r="V156" i="1" l="1"/>
  <c r="V127" i="1"/>
  <c r="V71" i="1" l="1"/>
  <c r="V123" i="1"/>
  <c r="V150" i="1"/>
  <c r="V81" i="1"/>
  <c r="V149" i="1" l="1"/>
  <c r="W119" i="1" l="1"/>
  <c r="V119" i="1"/>
  <c r="U119" i="1"/>
  <c r="W114" i="1"/>
  <c r="V114" i="1"/>
  <c r="U114" i="1"/>
  <c r="V100" i="1"/>
  <c r="V37" i="1" l="1"/>
  <c r="W131" i="1" l="1"/>
  <c r="V144" i="1"/>
  <c r="V141" i="1"/>
  <c r="V137" i="1"/>
  <c r="V124" i="1"/>
  <c r="V106" i="1"/>
  <c r="W100" i="1"/>
  <c r="V97" i="1"/>
  <c r="V96" i="1"/>
  <c r="V93" i="1"/>
  <c r="V83" i="1"/>
  <c r="V79" i="1"/>
  <c r="V76" i="1"/>
  <c r="V63" i="1"/>
  <c r="V51" i="1"/>
  <c r="V43" i="1"/>
  <c r="V30" i="1"/>
  <c r="V19" i="1"/>
  <c r="V12" i="1"/>
  <c r="V5" i="1"/>
  <c r="W163" i="1" l="1"/>
  <c r="F25" i="2"/>
  <c r="G33" i="2"/>
  <c r="F33" i="2"/>
  <c r="D33" i="2"/>
  <c r="G30" i="2"/>
  <c r="F30" i="2"/>
  <c r="D30" i="2"/>
  <c r="G22" i="2"/>
  <c r="F22" i="2"/>
  <c r="D22" i="2"/>
  <c r="G17" i="2"/>
  <c r="C13" i="2"/>
  <c r="B13" i="2"/>
  <c r="G12" i="2"/>
  <c r="F12" i="2"/>
  <c r="G11" i="2"/>
  <c r="F11" i="2"/>
  <c r="G9" i="2"/>
  <c r="F9" i="2"/>
  <c r="G8" i="2"/>
  <c r="F8" i="2"/>
  <c r="G6" i="2"/>
  <c r="F6" i="2"/>
  <c r="G5" i="2"/>
  <c r="F5" i="2"/>
  <c r="G4" i="2"/>
  <c r="F4" i="2"/>
  <c r="G3" i="2"/>
  <c r="D3" i="2"/>
  <c r="AA81" i="1"/>
  <c r="AA44" i="1"/>
  <c r="AA124" i="1"/>
  <c r="H11" i="2" l="1"/>
  <c r="H3" i="2"/>
  <c r="F13" i="2"/>
  <c r="G13" i="2"/>
  <c r="G14" i="2" s="1"/>
  <c r="AA157" i="1"/>
  <c r="AA27" i="1"/>
  <c r="P148" i="1"/>
  <c r="P147" i="1"/>
  <c r="P144" i="1"/>
  <c r="C36" i="2" l="1"/>
  <c r="B36" i="2"/>
  <c r="G35" i="2"/>
  <c r="F35" i="2"/>
  <c r="D35" i="2"/>
  <c r="G34" i="2"/>
  <c r="F34" i="2"/>
  <c r="D34" i="2"/>
  <c r="E33" i="2"/>
  <c r="G32" i="2"/>
  <c r="F32" i="2"/>
  <c r="D32" i="2"/>
  <c r="G31" i="2"/>
  <c r="F31" i="2"/>
  <c r="D31" i="2"/>
  <c r="E30" i="2"/>
  <c r="E29" i="2"/>
  <c r="E28" i="2"/>
  <c r="F24" i="2"/>
  <c r="D24" i="2"/>
  <c r="E22" i="2"/>
  <c r="G19" i="2"/>
  <c r="F19" i="2"/>
  <c r="D19" i="2"/>
  <c r="F17" i="2"/>
  <c r="D17" i="2"/>
  <c r="E16" i="2"/>
  <c r="C16" i="2"/>
  <c r="C14" i="2"/>
  <c r="B14" i="2"/>
  <c r="E12" i="2"/>
  <c r="A12" i="2"/>
  <c r="E11" i="2"/>
  <c r="E10" i="2"/>
  <c r="E9" i="2"/>
  <c r="A9" i="2"/>
  <c r="E8" i="2"/>
  <c r="A8" i="2"/>
  <c r="E7" i="2"/>
  <c r="E6" i="2"/>
  <c r="A6" i="2"/>
  <c r="E5" i="2"/>
  <c r="D4" i="2"/>
  <c r="A4" i="2"/>
  <c r="E3" i="2"/>
  <c r="A3" i="2"/>
  <c r="A2" i="2"/>
  <c r="Y163" i="1"/>
  <c r="X163" i="1"/>
  <c r="V163" i="1"/>
  <c r="U163" i="1"/>
  <c r="AA159" i="1"/>
  <c r="Z159" i="1"/>
  <c r="AA156" i="1"/>
  <c r="Z156" i="1"/>
  <c r="AA150" i="1"/>
  <c r="AA149" i="1"/>
  <c r="Z149" i="1"/>
  <c r="M145" i="1"/>
  <c r="AA144" i="1"/>
  <c r="Z144" i="1"/>
  <c r="M143" i="1"/>
  <c r="M142" i="1"/>
  <c r="L142" i="1"/>
  <c r="K142" i="1"/>
  <c r="AA141" i="1"/>
  <c r="Z141" i="1"/>
  <c r="M141" i="1"/>
  <c r="L141" i="1"/>
  <c r="K141" i="1"/>
  <c r="Z137" i="1"/>
  <c r="AA137" i="1" s="1"/>
  <c r="L136" i="1"/>
  <c r="K136" i="1"/>
  <c r="L135" i="1"/>
  <c r="K135" i="1"/>
  <c r="Z134" i="1"/>
  <c r="AA134" i="1" s="1"/>
  <c r="L134" i="1"/>
  <c r="K134" i="1"/>
  <c r="Z131" i="1"/>
  <c r="AA131" i="1" s="1"/>
  <c r="AA127" i="1"/>
  <c r="Z127" i="1"/>
  <c r="AA123" i="1"/>
  <c r="Z123" i="1"/>
  <c r="AA122" i="1"/>
  <c r="Z122" i="1"/>
  <c r="Z119" i="1"/>
  <c r="AA119" i="1" s="1"/>
  <c r="Z114" i="1"/>
  <c r="AA114" i="1" s="1"/>
  <c r="Z106" i="1"/>
  <c r="AA106" i="1" s="1"/>
  <c r="Z100" i="1"/>
  <c r="AA100" i="1" s="1"/>
  <c r="AA98" i="1"/>
  <c r="Z98" i="1"/>
  <c r="K98" i="1"/>
  <c r="AA97" i="1"/>
  <c r="Z97" i="1"/>
  <c r="M97" i="1"/>
  <c r="L97" i="1"/>
  <c r="K97" i="1"/>
  <c r="Z96" i="1"/>
  <c r="AA96" i="1" s="1"/>
  <c r="Z93" i="1"/>
  <c r="AA93" i="1" s="1"/>
  <c r="AA90" i="1"/>
  <c r="Z90" i="1"/>
  <c r="Z83" i="1"/>
  <c r="AA83" i="1" s="1"/>
  <c r="AA79" i="1"/>
  <c r="Z79" i="1"/>
  <c r="M79" i="1"/>
  <c r="Z76" i="1"/>
  <c r="AA76" i="1" s="1"/>
  <c r="Z72" i="1"/>
  <c r="AA72" i="1" s="1"/>
  <c r="Z71" i="1"/>
  <c r="K71" i="1"/>
  <c r="Z69" i="1"/>
  <c r="AA69" i="1" s="1"/>
  <c r="AA67" i="1"/>
  <c r="Z67" i="1"/>
  <c r="AA66" i="1"/>
  <c r="Z66" i="1"/>
  <c r="AA63" i="1"/>
  <c r="Z63" i="1"/>
  <c r="Z59" i="1"/>
  <c r="Z51" i="1"/>
  <c r="AA51" i="1" s="1"/>
  <c r="N45" i="1"/>
  <c r="M45" i="1"/>
  <c r="Z43" i="1"/>
  <c r="AA43" i="1" s="1"/>
  <c r="K40" i="1"/>
  <c r="Z37" i="1"/>
  <c r="AA37" i="1" s="1"/>
  <c r="Z32" i="1"/>
  <c r="AA32" i="1" s="1"/>
  <c r="Z19" i="1"/>
  <c r="AA19" i="1" s="1"/>
  <c r="Z12" i="1"/>
  <c r="AA12" i="1" s="1"/>
  <c r="Z5" i="1"/>
  <c r="D36" i="2" l="1"/>
  <c r="E36" i="2" s="1"/>
  <c r="E4" i="2"/>
  <c r="D13" i="2"/>
  <c r="D14" i="2" s="1"/>
  <c r="E25" i="2"/>
  <c r="E18" i="2"/>
  <c r="E21" i="2"/>
  <c r="E31" i="2"/>
  <c r="E20" i="2"/>
  <c r="E24" i="2"/>
  <c r="E32" i="2"/>
  <c r="E34" i="2"/>
  <c r="E19" i="2"/>
  <c r="E27" i="2"/>
  <c r="E35" i="2"/>
  <c r="AA163" i="1"/>
  <c r="H21" i="2"/>
  <c r="H5" i="2"/>
  <c r="H6" i="2"/>
  <c r="H9" i="2"/>
  <c r="H10" i="2"/>
  <c r="H12" i="2"/>
  <c r="H26" i="2"/>
  <c r="H29" i="2"/>
  <c r="H33" i="2"/>
  <c r="H24" i="2"/>
  <c r="H25" i="2"/>
  <c r="H28" i="2"/>
  <c r="H19" i="2"/>
  <c r="H20" i="2"/>
  <c r="H32" i="2"/>
  <c r="H23" i="2"/>
  <c r="H4" i="2"/>
  <c r="H7" i="2"/>
  <c r="H17" i="2"/>
  <c r="H30" i="2"/>
  <c r="H31" i="2"/>
  <c r="F14" i="2"/>
  <c r="F36" i="2"/>
  <c r="Z163" i="1"/>
  <c r="H8" i="2"/>
  <c r="H22" i="2"/>
  <c r="H18" i="2"/>
  <c r="H27" i="2"/>
  <c r="H34" i="2"/>
  <c r="H35" i="2"/>
  <c r="G36" i="2"/>
  <c r="AA5" i="1"/>
  <c r="H2" i="2"/>
  <c r="E2" i="2"/>
  <c r="E17" i="2"/>
  <c r="E13" i="2" l="1"/>
  <c r="E14" i="2"/>
  <c r="H36" i="2"/>
  <c r="H13" i="2"/>
  <c r="H14" i="2"/>
</calcChain>
</file>

<file path=xl/comments1.xml><?xml version="1.0" encoding="utf-8"?>
<comments xmlns="http://schemas.openxmlformats.org/spreadsheetml/2006/main">
  <authors>
    <author>Ingrida Urbonaitė</author>
  </authors>
  <commentList>
    <comment ref="V2" authorId="0">
      <text>
        <r>
          <rPr>
            <b/>
            <sz val="9"/>
            <color indexed="81"/>
            <rFont val="Tahoma"/>
            <family val="2"/>
          </rPr>
          <t>Ingrida Urbonaitė:</t>
        </r>
        <r>
          <rPr>
            <sz val="9"/>
            <color indexed="81"/>
            <rFont val="Tahoma"/>
            <family val="2"/>
          </rPr>
          <t xml:space="preserve">
siūlau atsisakyti šio stulpelio, jo jau nėra komunikacijos plane, čia išrankiota iš paraiškų, bet dalies kampanijų atveju paraisškų infromacija realiai yra pasikeitusi</t>
        </r>
      </text>
    </comment>
    <comment ref="P17" authorId="0">
      <text>
        <r>
          <rPr>
            <b/>
            <sz val="9"/>
            <color indexed="81"/>
            <rFont val="Tahoma"/>
            <family val="2"/>
            <charset val="186"/>
          </rPr>
          <t>Ingrida Urbonaitė:</t>
        </r>
        <r>
          <rPr>
            <sz val="9"/>
            <color indexed="81"/>
            <rFont val="Tahoma"/>
            <family val="2"/>
            <charset val="186"/>
          </rPr>
          <t xml:space="preserve">
pareiškėjų apklausa: ar ES investicijos Lietuvoje skirstomos skaidriai?</t>
        </r>
      </text>
    </comment>
    <comment ref="P33" authorId="0">
      <text>
        <r>
          <rPr>
            <b/>
            <sz val="9"/>
            <color indexed="81"/>
            <rFont val="Tahoma"/>
            <family val="2"/>
            <charset val="186"/>
          </rPr>
          <t>Ingrida Urbonaitė:</t>
        </r>
        <r>
          <rPr>
            <sz val="9"/>
            <color indexed="81"/>
            <rFont val="Tahoma"/>
            <family val="2"/>
            <charset val="186"/>
          </rPr>
          <t xml:space="preserve">
k8
</t>
        </r>
      </text>
    </comment>
    <comment ref="P35" authorId="0">
      <text>
        <r>
          <rPr>
            <b/>
            <sz val="9"/>
            <color indexed="81"/>
            <rFont val="Tahoma"/>
            <family val="2"/>
            <charset val="186"/>
          </rPr>
          <t>Ingrida Urbonaitė:</t>
        </r>
        <r>
          <rPr>
            <sz val="9"/>
            <color indexed="81"/>
            <rFont val="Tahoma"/>
            <family val="2"/>
            <charset val="186"/>
          </rPr>
          <t xml:space="preserve">
k12</t>
        </r>
      </text>
    </comment>
    <comment ref="J39" authorId="0">
      <text>
        <r>
          <rPr>
            <b/>
            <sz val="9"/>
            <color indexed="81"/>
            <rFont val="Tahoma"/>
            <family val="2"/>
            <charset val="186"/>
          </rPr>
          <t>Ingrida Urbonaitė:</t>
        </r>
        <r>
          <rPr>
            <sz val="9"/>
            <color indexed="81"/>
            <rFont val="Tahoma"/>
            <family val="2"/>
            <charset val="186"/>
          </rPr>
          <t xml:space="preserve">
CPVA atstovas nurodė, kad siekiama išlieka ta pati - 95 proc.</t>
        </r>
      </text>
    </comment>
    <comment ref="P43" authorId="0">
      <text>
        <r>
          <rPr>
            <b/>
            <sz val="9"/>
            <color indexed="81"/>
            <rFont val="Tahoma"/>
            <family val="2"/>
            <charset val="186"/>
          </rPr>
          <t>Ingrida Urbonaitė:</t>
        </r>
        <r>
          <rPr>
            <sz val="9"/>
            <color indexed="81"/>
            <rFont val="Tahoma"/>
            <family val="2"/>
            <charset val="186"/>
          </rPr>
          <t xml:space="preserve">
vidurkį numuša NVO</t>
        </r>
      </text>
    </comment>
    <comment ref="P46" authorId="0">
      <text>
        <r>
          <rPr>
            <b/>
            <sz val="9"/>
            <color indexed="81"/>
            <rFont val="Tahoma"/>
            <family val="2"/>
            <charset val="186"/>
          </rPr>
          <t>Ingrida Urbonaitė:</t>
        </r>
        <r>
          <rPr>
            <sz val="9"/>
            <color indexed="81"/>
            <rFont val="Tahoma"/>
            <family val="2"/>
            <charset val="186"/>
          </rPr>
          <t xml:space="preserve">
k9</t>
        </r>
      </text>
    </comment>
    <comment ref="Q46" authorId="0">
      <text>
        <r>
          <rPr>
            <b/>
            <sz val="9"/>
            <color indexed="81"/>
            <rFont val="Tahoma"/>
            <family val="2"/>
            <charset val="186"/>
          </rPr>
          <t>Ingrida Urbonaitė:</t>
        </r>
        <r>
          <rPr>
            <sz val="9"/>
            <color indexed="81"/>
            <rFont val="Tahoma"/>
            <family val="2"/>
            <charset val="186"/>
          </rPr>
          <t xml:space="preserve">
k9</t>
        </r>
      </text>
    </comment>
    <comment ref="P59" authorId="0">
      <text>
        <r>
          <rPr>
            <b/>
            <sz val="9"/>
            <color indexed="81"/>
            <rFont val="Tahoma"/>
            <family val="2"/>
            <charset val="186"/>
          </rPr>
          <t>Ingrida Urbonaitė:</t>
        </r>
        <r>
          <rPr>
            <sz val="9"/>
            <color indexed="81"/>
            <rFont val="Tahoma"/>
            <family val="2"/>
            <charset val="186"/>
          </rPr>
          <t xml:space="preserve">
vidurkį numuša NVO</t>
        </r>
      </text>
    </comment>
    <comment ref="P72" authorId="0">
      <text>
        <r>
          <rPr>
            <b/>
            <sz val="9"/>
            <color indexed="81"/>
            <rFont val="Tahoma"/>
            <family val="2"/>
            <charset val="186"/>
          </rPr>
          <t>Ingrida Urbonaitė:</t>
        </r>
        <r>
          <rPr>
            <sz val="9"/>
            <color indexed="81"/>
            <rFont val="Tahoma"/>
            <family val="2"/>
            <charset val="186"/>
          </rPr>
          <t xml:space="preserve">
3 aspektų vidurkis</t>
        </r>
      </text>
    </comment>
    <comment ref="P83" authorId="0">
      <text>
        <r>
          <rPr>
            <b/>
            <sz val="9"/>
            <color indexed="81"/>
            <rFont val="Tahoma"/>
            <family val="2"/>
          </rPr>
          <t>Ingrida Urbonaitė:</t>
        </r>
        <r>
          <rPr>
            <sz val="9"/>
            <color indexed="81"/>
            <rFont val="Tahoma"/>
            <family val="2"/>
          </rPr>
          <t xml:space="preserve">
ŠMSM apklausoje klausiama, ar patraukli MOKSLININKO profeija.
Klausimas dėl skatinimo rinktis šią profesiją yra atskiras (nuo visų respondentų, o ne tik nuo tų, kuriems profesija patraukli)</t>
        </r>
      </text>
    </comment>
    <comment ref="I125" authorId="0">
      <text>
        <r>
          <rPr>
            <b/>
            <sz val="9"/>
            <color indexed="81"/>
            <rFont val="Tahoma"/>
            <family val="2"/>
          </rPr>
          <t>Ingrida Urbonaitė:</t>
        </r>
        <r>
          <rPr>
            <sz val="9"/>
            <color indexed="81"/>
            <rFont val="Tahoma"/>
            <family val="2"/>
          </rPr>
          <t xml:space="preserve">
SADM 2021 APKLAUSOJE ŠIO RODIKLIO REIKŠMĖ YRA 42 PROC. 2023 M PLANO PROJEKTE PATIKSLINTA IR NURODYTA 42 PROC.
</t>
        </r>
      </text>
    </comment>
    <comment ref="I126" authorId="0">
      <text>
        <r>
          <rPr>
            <b/>
            <sz val="9"/>
            <color indexed="81"/>
            <rFont val="Tahoma"/>
            <family val="2"/>
          </rPr>
          <t>Ingrida Urbonaitė:</t>
        </r>
        <r>
          <rPr>
            <sz val="9"/>
            <color indexed="81"/>
            <rFont val="Tahoma"/>
            <family val="2"/>
          </rPr>
          <t xml:space="preserve">
SADM 2021 APKLAUSOJE ŠIO RODIKLIO REIKŠMĖ YRA 78 PROC. 2023 M PLANO PROJEKTE PATIKSLINTA IR NURODYTA 78
 PROC.</t>
        </r>
      </text>
    </comment>
    <comment ref="J150" authorId="0">
      <text>
        <r>
          <rPr>
            <b/>
            <sz val="9"/>
            <color indexed="81"/>
            <rFont val="Tahoma"/>
            <charset val="186"/>
          </rPr>
          <t>Ingrida Urbonaitė:</t>
        </r>
        <r>
          <rPr>
            <sz val="9"/>
            <color indexed="81"/>
            <rFont val="Tahoma"/>
            <charset val="186"/>
          </rPr>
          <t xml:space="preserve">
2022 M. ATLIKUS TYRIMĄ BUVO PATIKSLINTOS PRADINĖ IR SIEKTINA REIKŠMĖS
</t>
        </r>
      </text>
    </comment>
    <comment ref="J151" authorId="0">
      <text>
        <r>
          <rPr>
            <b/>
            <sz val="9"/>
            <color indexed="81"/>
            <rFont val="Tahoma"/>
            <charset val="186"/>
          </rPr>
          <t>Ingrida Urbonaitė:</t>
        </r>
        <r>
          <rPr>
            <sz val="9"/>
            <color indexed="81"/>
            <rFont val="Tahoma"/>
            <charset val="186"/>
          </rPr>
          <t xml:space="preserve">
2022 m. KM ATLIKUS TYRIMĄ BUVO PATIKSLINTA PRADINĖ IR SIEKTINA REIKŠMĖS</t>
        </r>
      </text>
    </comment>
  </commentList>
</comments>
</file>

<file path=xl/sharedStrings.xml><?xml version="1.0" encoding="utf-8"?>
<sst xmlns="http://schemas.openxmlformats.org/spreadsheetml/2006/main" count="1881" uniqueCount="1309">
  <si>
    <t>šaltinis: komunikacijos planas</t>
  </si>
  <si>
    <t>šaltinis: lėšų poreikio lentelė</t>
  </si>
  <si>
    <t>Komunikacijos kryptis</t>
  </si>
  <si>
    <t>Komunikacijos tema</t>
  </si>
  <si>
    <t>Institu-
cija</t>
  </si>
  <si>
    <t>Kampanijos pavadinimas</t>
  </si>
  <si>
    <t>Komunikacijos kampanijos tikslai</t>
  </si>
  <si>
    <t>Tikslinė auditorija</t>
  </si>
  <si>
    <t>Komunikacijos kampanijos rodikliai</t>
  </si>
  <si>
    <t>Įvertinimas</t>
  </si>
  <si>
    <t>Planuojama komunika-cijos kampanijos pabaiga</t>
  </si>
  <si>
    <t>Maksimali komunika-cijos kampanijos vertė (eurais)</t>
  </si>
  <si>
    <t>Komunika-cijos kampanijai skirtas finansavimas 2022-2023 m.</t>
  </si>
  <si>
    <t>Preliminarus išlaidų planas 2022 m.</t>
  </si>
  <si>
    <t>2022-01-01-2022-12-31 laikotarpiu panaudotos lėšos</t>
  </si>
  <si>
    <t>Lėšų panaudojimo iki 2020.12.31 prognozė</t>
  </si>
  <si>
    <t>Faktinė situacija + prognozė</t>
  </si>
  <si>
    <t xml:space="preserve">2022 m. finansinio plano įgyvendinimas, proc. </t>
  </si>
  <si>
    <r>
      <t>Komentarai apie metinio plano įgyvendinimą; ar įvykdyta pagrindinė veikla? (</t>
    </r>
    <r>
      <rPr>
        <sz val="12"/>
        <rFont val="Times New Roman"/>
        <family val="1"/>
        <charset val="186"/>
      </rPr>
      <t>pagrindinė veikla ta, kuriai 2022 m. planuota didžioji lėšų dalis</t>
    </r>
    <r>
      <rPr>
        <b/>
        <sz val="12"/>
        <rFont val="Times New Roman"/>
        <family val="1"/>
        <charset val="186"/>
      </rPr>
      <t>). TAIP (=1)/ NE (=0)</t>
    </r>
  </si>
  <si>
    <t>Rodiklio aprašymas</t>
  </si>
  <si>
    <t>Matavimo vienetas</t>
  </si>
  <si>
    <t>Pradinė reikšmė ir jos nustatymo metai</t>
  </si>
  <si>
    <t>Siektina reikšmė ir jos pasiekimo metai</t>
  </si>
  <si>
    <t>Metinis pokytis: teigiamas (=1) / neigiamas (=0).  Jei reikšmė tokia pati =1</t>
  </si>
  <si>
    <t>Siektina reikšmė: pasiekta (=1) / nepasiekta (=0)</t>
  </si>
  <si>
    <t>LIETUVA, KURIĄ KURIAME 
EUROPOS SĄJUNGOS INVESTICIJOMIS</t>
  </si>
  <si>
    <t xml:space="preserve">Skėtinė tema, jungianti visas komunikacijos kampanijas </t>
  </si>
  <si>
    <t>FM</t>
  </si>
  <si>
    <t xml:space="preserve">1. Veiksmų programos įgyvendinimo eigos ir finansavimo galimybių komunikacijos kampanija
</t>
  </si>
  <si>
    <t>1. Pateikti informaciją apie Europos Sąjungos (toliau – ES) investicijų veiksmų programos siekiamus pokyčius ir įgyvendinimo eigą.2. Skatinti gyventojus domėtis įgyvendinamais projektais, jų teikiama nauda regionui ar šaliai.3. Formuoti nuostatą, kad ES investicijos padeda siekti teigiamų socialinių ir ekonominių pokyčių šalyje ir prisideda prie gyventojų gyvenimo kokybės gerinimo.</t>
  </si>
  <si>
    <t>Visuomenė</t>
  </si>
  <si>
    <r>
      <t xml:space="preserve">1.1. ES fondų svetainėje apsilankiusių unikalių lankytojų vidutinis skaičius per metus. (VP rodiklio 2023 m. siektina reikšmė - 200 000).
</t>
    </r>
    <r>
      <rPr>
        <sz val="12"/>
        <color rgb="FFFF0000"/>
        <rFont val="Times New Roman"/>
        <family val="1"/>
        <charset val="186"/>
      </rPr>
      <t/>
    </r>
  </si>
  <si>
    <t xml:space="preserve">Unikalių vartotojų (vnt.)
</t>
  </si>
  <si>
    <t xml:space="preserve">145 817 (2015 m.)
</t>
  </si>
  <si>
    <r>
      <t xml:space="preserve">180 000 (2018 m.) 
200 000 (2019 m.)
210 000 (2022 m.)
</t>
    </r>
    <r>
      <rPr>
        <sz val="12"/>
        <color rgb="FFFF0000"/>
        <rFont val="Times New Roman"/>
        <family val="1"/>
        <charset val="186"/>
      </rPr>
      <t/>
    </r>
  </si>
  <si>
    <t>2023 m. IV ketv.</t>
  </si>
  <si>
    <t>Suorganizuoti žurnalistų, tinklaraštininkų apdovanojimai už ES investicijų analizę ir studentų  darbų  apie ES investicijų efektyvumą konkursas. Lėšos buvo sutaupytos, nes apdovanojimų organizavimas kainavo mažiau.</t>
  </si>
  <si>
    <t>1.2. Gyventojų, kurie yra girdėję apie ES investicijas Lietuvai, dalis.</t>
  </si>
  <si>
    <t>Proc.</t>
  </si>
  <si>
    <t>91, iš jų daug girdėjo 28 (2015 m. lapkritis)</t>
  </si>
  <si>
    <t>92 proc. girdėjusių ir daug girdėjusių (2023 m.)</t>
  </si>
  <si>
    <t>91, iš jų daug girdėjo – 31 (2016 m. rugsėjis)</t>
  </si>
  <si>
    <t>91 , iš jų daug girdėjo - 27 (2017 m. lapkritis)</t>
  </si>
  <si>
    <r>
      <t>90, iš jų daug girdėjo -</t>
    </r>
    <r>
      <rPr>
        <b/>
        <sz val="12"/>
        <color theme="1"/>
        <rFont val="Times New Roman"/>
        <family val="1"/>
        <charset val="186"/>
      </rPr>
      <t xml:space="preserve"> 28</t>
    </r>
    <r>
      <rPr>
        <sz val="12"/>
        <color theme="1"/>
        <rFont val="Times New Roman"/>
        <family val="1"/>
        <charset val="186"/>
      </rPr>
      <t xml:space="preserve"> (2018 m. lapkritis)</t>
    </r>
  </si>
  <si>
    <r>
      <t>90, iš jų daug girdėjo -</t>
    </r>
    <r>
      <rPr>
        <b/>
        <sz val="12"/>
        <color theme="1"/>
        <rFont val="Times New Roman"/>
        <family val="1"/>
        <charset val="186"/>
      </rPr>
      <t xml:space="preserve"> 28</t>
    </r>
    <r>
      <rPr>
        <sz val="12"/>
        <color theme="1"/>
        <rFont val="Times New Roman"/>
        <family val="1"/>
        <charset val="186"/>
      </rPr>
      <t xml:space="preserve"> (2019 m. spalis)</t>
    </r>
  </si>
  <si>
    <r>
      <t xml:space="preserve">93, iš jų daug girdėjo – </t>
    </r>
    <r>
      <rPr>
        <b/>
        <sz val="12"/>
        <color theme="1"/>
        <rFont val="Times New Roman"/>
        <family val="1"/>
      </rPr>
      <t>27</t>
    </r>
    <r>
      <rPr>
        <sz val="12"/>
        <color theme="1"/>
        <rFont val="Times New Roman"/>
        <family val="1"/>
        <charset val="186"/>
      </rPr>
      <t xml:space="preserve"> (2021 m. kovas)</t>
    </r>
  </si>
  <si>
    <t>92, iš jų daug girdėjo –27 proc. (2022 sausis)</t>
  </si>
  <si>
    <t>92, iš jų daug girdėjo 31 (2023 sausis)</t>
  </si>
  <si>
    <t>1.4. Dalis gyventojų, kurie pritaria, kad ES lėšas administruoja patyrę savo srities specialistai</t>
  </si>
  <si>
    <t>41 (2021)</t>
  </si>
  <si>
    <t>45 (2023 m.)</t>
  </si>
  <si>
    <t>44 (2019 m. spalis)</t>
  </si>
  <si>
    <t>41 (2021 m. kovas)</t>
  </si>
  <si>
    <t>54 (2022 sausis)</t>
  </si>
  <si>
    <t>56 (2023 sausis)</t>
  </si>
  <si>
    <t xml:space="preserve">2.1. Gyventojų, kurie asmeniškai pajuto ES investicijų naudą, dalis. </t>
  </si>
  <si>
    <r>
      <t>74 (2015 m. lapkritis), iš kurių tikrai pajuto</t>
    </r>
    <r>
      <rPr>
        <b/>
        <sz val="12"/>
        <color theme="1"/>
        <rFont val="Times New Roman"/>
        <family val="1"/>
        <charset val="186"/>
      </rPr>
      <t xml:space="preserve"> 26  </t>
    </r>
  </si>
  <si>
    <t>77 proc. pajutusių ar greičiau pajutusių (2023 m.)</t>
  </si>
  <si>
    <t>81, iš kurių tikrai pajuto – 27 (2016 m. rugsėjis)</t>
  </si>
  <si>
    <t>72, iš jų tikrai pajutusių - 26 (2017 m. lapkritis)</t>
  </si>
  <si>
    <t>76, iš jų tikrai pajutusių - 32 (2018 m. lapkritis)</t>
  </si>
  <si>
    <t>83, iš jų tikrai pajutusių - 36 (2019 m. spalis)</t>
  </si>
  <si>
    <t>67, iš jų tikrai pajutusių –24 (2021 m. kovas)</t>
  </si>
  <si>
    <t>63, iš jų tikrai pajutusių –23 (2022 sausis)</t>
  </si>
  <si>
    <t>65, iš jų tikrai pajutusių –23 (2023 sausis)</t>
  </si>
  <si>
    <t xml:space="preserve">3.1. Gyventojų, teigiančių, kad ES investicijos padeda siekti teigiamų socialinių ir ekonominių pokyčių šalyje, dalis.  </t>
  </si>
  <si>
    <t xml:space="preserve">Socialinių pokyčių – 79, iš kurių 19 visiškai sutinka, ekonominių pokyčių – 86, iš kurių 25 visiškai sutinka (2015 m. lapkritis)
</t>
  </si>
  <si>
    <t>75 proc. sutinkančių, kad ES investicijos padeda siekti teigiamų socialinių ir ekonominių pokyčių šalyje (2023 m.)</t>
  </si>
  <si>
    <t>Socialinių pokyčių – 80, iš kurių 19 – visiškai sutinka; ekonominių pokyčių – 82, iš kurių 23 – visiškai sutinka (2016 m. rugsėjis)</t>
  </si>
  <si>
    <t>Socialinių pokyčių - 69, iš kurių visiškai sutinka - 15; ekonominių pokyčių - 71, iš kurių visiškai sutinka - 16 (2017 m. lapkritis)</t>
  </si>
  <si>
    <t>Socialinių pokyčių - 71, iš kurių visiškai sutinka - 13; ekonominių pokyčių - 72, iš kurių visiškai sutinka - 14 (2018 m. lapkritis)</t>
  </si>
  <si>
    <t>Socialinių pokyčių - 78, iš kurių visiškai sutinka - 17; ekonominių pokyčių - 76, iš kurių visiškai sutinka - 20 (2019 m. spalis)</t>
  </si>
  <si>
    <t>Socialinių pokyčių – 72, iš kurių visiškai sutinka – 56; ekonominių pokyčių – 74, iš kurių visiškai sutinka –18 (2021 m. kovas)</t>
  </si>
  <si>
    <t>Socialinių pokyčių – 76, iš kurių visiškai sutinka – 21; ekonominių pokyčių – 78, iš kurių visiškai sutinka –27 (2022 m. sausis)</t>
  </si>
  <si>
    <t>Socialinių pokyčių – 78, iš kurių visiškai sutinka – 23; ekonominių pokyčių – 79, iš kurių visiškai sutinka –26 (2023 m. sausis)</t>
  </si>
  <si>
    <t xml:space="preserve">3.2. Gyventojų, teigiančių, kad ES investicijos prisideda prie gyventojų gyvenimo kokybės gerinimo, dalis.
</t>
  </si>
  <si>
    <t>82 proc.  (2015 m. lapkritis)</t>
  </si>
  <si>
    <t>75 proc. (2023 m.)</t>
  </si>
  <si>
    <t>87, iš jų visiškai sutinka – 28 (2016 m. rugsėjis)</t>
  </si>
  <si>
    <t>68, iš jų visiškai sutinkančių - 15 (2017 m. lapkritis)</t>
  </si>
  <si>
    <t>72, iš jų visiškai sutinkančių - 18 (2018 m. lapkritis)</t>
  </si>
  <si>
    <t>76, iš jų visiškai sutinkančių - 20 (2019 m. spalis)</t>
  </si>
  <si>
    <t>72, iš jų visiškai sutinakančių – 20</t>
  </si>
  <si>
    <t>72, iš jų visiškai sutinkančių – 24 (2022 sausis)</t>
  </si>
  <si>
    <t>76, iš jų visiškai sutinkančių – 24 (2023 sausis)</t>
  </si>
  <si>
    <t xml:space="preserve">3.4 Tikslinės auditorijos dalis sutinkanti, kad jaučiasi ne tik Lietuvos piliečiu, bet ir ES bendruomenės dalimi. </t>
  </si>
  <si>
    <t>69, iš jų visiškai sutinka 22 (2019 m. spalis)</t>
  </si>
  <si>
    <t>73 proc. sutinkančių (2023 m.)</t>
  </si>
  <si>
    <t>71, iš jų visiškai sutinka 20 (2021 m. kovas)</t>
  </si>
  <si>
    <t>65, iš jų visiškai sutinka 18 (2022 sausis)</t>
  </si>
  <si>
    <t>72, iš jų visiškai sutinka 21 (2023 sausis)</t>
  </si>
  <si>
    <t>2. Pareiškėjų, projektų vykdytojų bendruomenės stiprinimo komunikacijos kampanija</t>
  </si>
  <si>
    <t xml:space="preserve">1. Skatinti pareiškėjų ir ES investicijas administruojančių institucijų partnerystę, lygiavertį bendradarbiavimą siekiant bendro rezultato; stiprinti įgyvendinančiųjų institucijų kaip partnerių, o ne kontroliuojančiųjų institucijų įvaizdį.
2. Aiškiai pateikti informaciją esamiems ir potencialiems pareiškėjams, projektų vykdytojams. 
3. Skatinti valstybinio, regioninio planavimo projektų pareiškėjus ir vykdytojus, regionų plėtros tarybas vertinti visuomenės, projekto tikslinių auditorijų nuomonę kaip itin svarbią projekto vykdymo sėkmei.
</t>
  </si>
  <si>
    <t xml:space="preserve">Potencialūs pareiškėjai, projektų vykdytojai </t>
  </si>
  <si>
    <t xml:space="preserve">1.1. Projektų vykdytojų, kurie pritaria nuostatai, kad įgyvendinančiosios institucijos – partneriai, o ne kontroliuojančiosios institucijos, dalis.
</t>
  </si>
  <si>
    <t xml:space="preserve">Proc.
</t>
  </si>
  <si>
    <t xml:space="preserve">53 (2016 m. spalis)
</t>
  </si>
  <si>
    <t xml:space="preserve">80 (2023 m.)
</t>
  </si>
  <si>
    <t>53 (2016 m. spalis)</t>
  </si>
  <si>
    <t>81, iš jų visiškai pritaria  -  24 (2017 m. lapkritis)</t>
  </si>
  <si>
    <t>86, iš jų visiškai pritaria  -  27 (2018 m. lapkritis)</t>
  </si>
  <si>
    <t>80, iš jų visiškai pritaria  -  29 (2019 m. spalis)</t>
  </si>
  <si>
    <t>76, iš jų visiškai pritaria – 26 (2021 kovas)</t>
  </si>
  <si>
    <t>84, iš jų 30 visiškai pritaria (2022 sausis)</t>
  </si>
  <si>
    <t>81, iš jų 25 visiškai pritaria (2023 sausis)</t>
  </si>
  <si>
    <t>Suorganizuoti geriausių Europos Sąjungos investicijų Lietuvoje projektų apdovanojimai „Europos burės 2022“, kartu su jais vyko ir kontaktų mugė. Renginys sulaukė didelio susidomėjimo ir nuspręsta jį transliuotui gyvai, tai padidino planuotą renginio kainą.</t>
  </si>
  <si>
    <t>2.1. Potencialių pareiškėjų, kuriuos tenkina turima informacija, dalis. (VP rodiklio 2023 m. reikšmė - 65 proc.).</t>
  </si>
  <si>
    <t xml:space="preserve">75 iš kurių informacijos visiškai pakanka 14 (2015 m. lapkritis)
</t>
  </si>
  <si>
    <t xml:space="preserve">70 proc. sutinkančių, kad informacijos pakanka (2023 m.)
</t>
  </si>
  <si>
    <t>73, iš kurių informacijos visiškai pakanka – 22 (2016 m. rugsėjis)</t>
  </si>
  <si>
    <t>67, iš jų visiškai pakanka - 22 (2017 m. lapkritis)</t>
  </si>
  <si>
    <t>66, iš jų visiškai pakanka - 22 (2018 m. lapkritis)</t>
  </si>
  <si>
    <t>63, iš jų visiškai pakanka - 20 (2019 m. spalis)</t>
  </si>
  <si>
    <t>67, iš jų visiškai pakanka – 17 (2021 kovas)</t>
  </si>
  <si>
    <t>65, iš jų visiškai pakanka –20 (2022 sausis)</t>
  </si>
  <si>
    <t>67, iš jų visiškai pakanka –21 (20223sausis)</t>
  </si>
  <si>
    <t>2.2. Potencialių pareiškėjų, kurie žino ES struktūrinių fondų svetainę www.esinvesticijos.lt kaip pagrindinę svetainę informacijai apie ES investicijas gauti, dalis.</t>
  </si>
  <si>
    <t>37 (2015 m. lapkritis)</t>
  </si>
  <si>
    <t xml:space="preserve">35 (2020 m.)
</t>
  </si>
  <si>
    <t>47 (2016 m. rugsėjis)</t>
  </si>
  <si>
    <t>32 (2017 m. lapkritis)</t>
  </si>
  <si>
    <t>45 (2018 m. lapkritis)</t>
  </si>
  <si>
    <t>55 (2019 m. spalis)</t>
  </si>
  <si>
    <t>39 (2021 m. kovas)</t>
  </si>
  <si>
    <t>41 (2022 sausis)</t>
  </si>
  <si>
    <t>71 (2023 sausis)</t>
  </si>
  <si>
    <t xml:space="preserve">3.1. Valstybinio ar regioninio planavimo projektų vykdytojų, kurie pritaria nuostatai, kad visuomenės ir (ar) bendruomenės įtraukimas į viešą projektų aptarimą palengvins projektų įgyvendinimą, sutaupys laiko, dalis. </t>
  </si>
  <si>
    <t>45 (2016 m. spalis)</t>
  </si>
  <si>
    <t>55 (2020 m.)</t>
  </si>
  <si>
    <t>62 (2017 m. lapkritis)</t>
  </si>
  <si>
    <t>69 (2018 m. lapkritis)</t>
  </si>
  <si>
    <t>67 (2019 m. spalis)</t>
  </si>
  <si>
    <t>68 (2021 m. kovas)</t>
  </si>
  <si>
    <t>62 (2022 sausis)</t>
  </si>
  <si>
    <t>nematuota, 2021 m. buvo k13 klausimas</t>
  </si>
  <si>
    <t>Nematuota</t>
  </si>
  <si>
    <t>1
Krypties detalizavimo lentelėje nurodyta, kad rodiklis pasiektas</t>
  </si>
  <si>
    <t>3.2. Valstybinio ar regioninio planavimo projektų vykdytojų, kurie:
a) konsultavosi su bendruomene atsižvelgdami į bendruomenių, gyventojų lūkesčius dėl planuojamų ES investicijų, projektų būtinumo ir svarbos;
b) pristatė projektų tikslus, veiklas ir rezultatus, dalis.</t>
  </si>
  <si>
    <r>
      <t>a) 70 (2016 m. spalis)</t>
    </r>
    <r>
      <rPr>
        <b/>
        <sz val="12"/>
        <color theme="1"/>
        <rFont val="Times New Roman"/>
        <family val="1"/>
        <charset val="186"/>
      </rPr>
      <t xml:space="preserve">
</t>
    </r>
    <r>
      <rPr>
        <sz val="12"/>
        <color theme="1"/>
        <rFont val="Times New Roman"/>
        <family val="1"/>
        <charset val="186"/>
      </rPr>
      <t>b) 66 (2016 m. spalis)</t>
    </r>
  </si>
  <si>
    <t>a) 80 (2020 m.) b) 76 (2020 m.)</t>
  </si>
  <si>
    <t>a) 70 (2016 m. spalis)
b) 66 (2016 m. spalis)</t>
  </si>
  <si>
    <t>a)69  b) 72 (2017 m. lapkritis)</t>
  </si>
  <si>
    <t>a) 69  b) 73 (2018 m. lapkritis)</t>
  </si>
  <si>
    <t>a) 72  b) 78 (2019 m. spalis)</t>
  </si>
  <si>
    <t>a) 70 b) 79 (2021 m. kovas)</t>
  </si>
  <si>
    <t>a) 72 b) 86 (2022 sausis)</t>
  </si>
  <si>
    <t>a) 78 (2023 sausis) b) nematuota, 2021 m. buvo k15 klausimas</t>
  </si>
  <si>
    <t>0 
Krypties detalizavimo lentelėje nurodyta, kad rodiklio b dalis pasiekta</t>
  </si>
  <si>
    <t xml:space="preserve">3.3 ES investicijų administravimą vertina kaip skaidrų. </t>
  </si>
  <si>
    <t>56 (2021 m.)</t>
  </si>
  <si>
    <t xml:space="preserve">61 (2023 m.) </t>
  </si>
  <si>
    <t>68, iš jų visiškai sutinka 11 (2019 m. spalis)</t>
  </si>
  <si>
    <t>56 (ių jų visiškai sutinka 8 (2021 m. kovas)</t>
  </si>
  <si>
    <t>65 (2022 sausis)</t>
  </si>
  <si>
    <t xml:space="preserve">3.4 Dalis projektų vykdytojų, kurie pritaria, kad institucijų profesionalumas, skaidrumas priimant sprendimus nuolat auga. </t>
  </si>
  <si>
    <t>90, iš jų 21 visiškai sutinka dėl profesionalumo. 88, iš jų 30 visiškai sutinka dėl skaidrumo. (2019 m. spalis)</t>
  </si>
  <si>
    <t>95 skaidrume ir 93 profesionalume. (2023 m.)</t>
  </si>
  <si>
    <t>90, iš jų 21 visiškai sutinka dėl profesionalumo. 92, iš jų 25 visiškai sutinka dėl skaidrumo (2018 m. spalis)</t>
  </si>
  <si>
    <t>86, iš jų 25 visiškai sutinka dėl profesionalumo. 89, iš jų 30 visiškai sutinka dėl skaidrumo. (2019 m. spalis)</t>
  </si>
  <si>
    <t>87, iš jų 27 visiškai sutinka dėl profesionalumo. 89, iš jų 31 visiškai sutinka dėl skaidrumo (2021 m. kovas)</t>
  </si>
  <si>
    <t>89, iš jų 26 visiškai sutinka dėl profesionalumo. 91, iš jų 30 visiškai sutinka dėl skaidrumo (2022 m. sausis)</t>
  </si>
  <si>
    <t>92, iš jų 30 visiškai sutinka dėl profesionalumo. 94, iš jų 34 visiškai sutinka dėl skaidrumo (2022 m. sausis)</t>
  </si>
  <si>
    <t xml:space="preserve">FM
</t>
  </si>
  <si>
    <t>3. 2014–2020 m. ES fondų investicijų komunikacijos strategijos valdymas</t>
  </si>
  <si>
    <t>1. 2014–2020 m. ES fondų investicijų komunikacijos strategijos valdymas užtikrins komunikacijos krypčių ir temų įgyvendinimo eigos stebėseną, rodiklių reikšmių nustatymą ir nuolatinius tikslinių auditorijų nuomonių tyrimus, informacijos stebėseną žiniasklaidos priemonėse, svetainės www.esinvesticijos.lt plėtrą ir kitas su komunikacijos valdymu susijusias paslaugas.</t>
  </si>
  <si>
    <t>ES investicijas administruojančios institucijos</t>
  </si>
  <si>
    <t xml:space="preserve">1.1. Žiniasklaidos stebėsenos paslaugos.
</t>
  </si>
  <si>
    <t xml:space="preserve">Mėn.
</t>
  </si>
  <si>
    <t>10 (2016 m. gruodis)</t>
  </si>
  <si>
    <t xml:space="preserve">70 (2023 m.)
</t>
  </si>
  <si>
    <t>Pagrindinės veiklos (žiniasklaidos stbėsena, svetainės palaikymo paslaugos, gebėjimų stiprinimo mokymai, vertinimas, apklausos) įgyvendintos</t>
  </si>
  <si>
    <t>1.2. Lietuvos gyventojų apklausa.</t>
  </si>
  <si>
    <t>Vnt.</t>
  </si>
  <si>
    <t>1 (2016 m. gruodis)</t>
  </si>
  <si>
    <t>8 (2023m.)</t>
  </si>
  <si>
    <t>1.3. Potencialių pareiškėjų nuomonės tyrimas.</t>
  </si>
  <si>
    <t>1.4. Projektų vykdytojų nuomonės tyrimas.</t>
  </si>
  <si>
    <t>1.5. Lietuvos gyventojų atrinktų grupių tyrimas.</t>
  </si>
  <si>
    <t>3 (2016 m. gruodis)</t>
  </si>
  <si>
    <t>6 (2023 m.)</t>
  </si>
  <si>
    <t>1.6. Komunikacijos strategijos įgyvendinimo efektyvumo vertinimas.</t>
  </si>
  <si>
    <t>7 (2023 m.)</t>
  </si>
  <si>
    <t>1.7. Gebėjimų stiprinimo mokymai.</t>
  </si>
  <si>
    <t>4 (2016 m. gruodis)</t>
  </si>
  <si>
    <t>15 (2023 m.)</t>
  </si>
  <si>
    <t>1.8. Svetainės www.esinvesticijos.lt plėtros ir palaikymo paslaugos.</t>
  </si>
  <si>
    <t>Mėn.</t>
  </si>
  <si>
    <t>12 (2016 m. gruodis)</t>
  </si>
  <si>
    <t>84 (2023 m.)</t>
  </si>
  <si>
    <t>4. Komunikacijos kampanija ES investicijų skaidrumo didinimui</t>
  </si>
  <si>
    <t>1. Formuoti nuostatą, kad Europos Sąjungos investicijos padeda siekti teigiamų socialinių ir ekonominių pokyčių šalyje ir prisideda prie gyventojų gyvenimo kokybės gerinimo.</t>
  </si>
  <si>
    <t>18-75 metų gyventojai</t>
  </si>
  <si>
    <t>Dalis gyventojų, teigiančių, kad Europos Sąjungos investicijos padeda siekti teigiamų socialinių ir ekonominių pokyčių šalyje.</t>
  </si>
  <si>
    <t>Socialinių pokyčių – 72, ekonominių pokyčių – 74 (2021 m. kovas)</t>
  </si>
  <si>
    <t>Socialinių pokyčių – 75, ekonominių pokyčių – 75 (2023 m.)</t>
  </si>
  <si>
    <t>nematuota</t>
  </si>
  <si>
    <t xml:space="preserve">2023 m. IV ketv. </t>
  </si>
  <si>
    <t>Sukurta interneto svetainė esminiaipokyciai, lt, miestų ambasadoriai, videoreportažai, viešinimas naujienų portaluose, socialiniuose tinkluose. Videokonkursas, fotokonkursas, asmeninės istorijos</t>
  </si>
  <si>
    <t>Dalis gyventojų, teigiančių, kad Europos Sąjungos investicijos prisideda prie gyventojų gyvenimo kokybės gerinimo.</t>
  </si>
  <si>
    <t>72 (2021 m. kovas)</t>
  </si>
  <si>
    <t>75 (2023 m.)</t>
  </si>
  <si>
    <t>76 (2023 sausis)</t>
  </si>
  <si>
    <t>Dalis gyventojų, kurie pritaria, kad ES lėšas administruoja patyrę savo srities specialistai.</t>
  </si>
  <si>
    <t>41 skaičiuojant nuo visų atsakiusiųjų (2021 m. kovas)</t>
  </si>
  <si>
    <t>5. ES fondų investicijos šiandien ir rytoj</t>
  </si>
  <si>
    <t>1. Formuoti nuostatą, kad ES investicijos prisideda prie gyvenimo kokybės gerinimo ir skatinti gyventojus jaustis aktyvios Europos bendruomenės dalimi. 2. Komunikuoti apie 2014-2020 m. investicijų dėka pasiektus rezultatus bei gautą naudą ir skleisti žinią apie 2021-2027 m. laikotarpio investicijų atėjimą į Lietuvą bei skatinti domėtis jo teikiamomis galimybėmis.</t>
  </si>
  <si>
    <t>18-75 metų Lietuvos gyventojai</t>
  </si>
  <si>
    <t>1.1. Dalis gyventojų, teigiančių, kad Europos Sąjungos investicijos prisideda prie gyventojų gyvenimo kokybės gerinimo</t>
  </si>
  <si>
    <t>72 (2021 m.)</t>
  </si>
  <si>
    <t>2023 m.</t>
  </si>
  <si>
    <t>Įsigytos vaizdo klipų transliavimo televizijoje, garso klipų sukūrimo ir translaivimo radijuje, vaizdo klipų transliavimo kino teatrų ekranuose, LCD lauko ekranuose ir LCD prekybos centruose ir vaistinėse, paslaugos; kampanijos viešinimas Delfi.lt, 5 renginių ciklas.,</t>
  </si>
  <si>
    <t>1.2. Tikslinės auditorijos dalis sutinkanti, kad jaučiasi ne tik Lietuvos piliečiu, bet ir ES bendruomenės dalimi</t>
  </si>
  <si>
    <t>71 (2021 m.)</t>
  </si>
  <si>
    <t>73 (2023 m.)</t>
  </si>
  <si>
    <t>72 (2023 sausis)</t>
  </si>
  <si>
    <t>SM</t>
  </si>
  <si>
    <t>6. Pareiškėjų informavimas</t>
  </si>
  <si>
    <t xml:space="preserve">1. Aiškiai pateikti potencialiems pareiškėjams informaciją. 
2. Skatinti pareiškėjų ir ES investicijas administruojančių institucijų partnerystę. 
3. Skleisti idėjas apie bendrus strateginius Lietuvos tikslus, įgyvendinamus panaudojant ES investicijas.
</t>
  </si>
  <si>
    <t>Savivaldybių administracijos; valstybės institucijos ir įstaigos</t>
  </si>
  <si>
    <t xml:space="preserve">1.1. Potencialių pareiškėjų (valstybės ir savivaldybių institucijų ar įstaigų), kuriuos tenkina turima informacija, dalis.
</t>
  </si>
  <si>
    <t xml:space="preserve">Proc.
</t>
  </si>
  <si>
    <t xml:space="preserve">88 iš kurių visiškai sutinka 26 (2015 m. gruodis)
</t>
  </si>
  <si>
    <t xml:space="preserve">88, iš kurių visiškai sutinka 31 (2022 m.)
</t>
  </si>
  <si>
    <t>83,8 (2016 m. rugsėjis)</t>
  </si>
  <si>
    <t>80, iš kurių informacijos visiškai pakanka - 29 (2017 m. lapkritis)</t>
  </si>
  <si>
    <t>80, iš jų visiškai sutinka 27 (2018 m. lapkritis)</t>
  </si>
  <si>
    <t>86, iš jų visiškai sutinka 29 (2019 m. spalis)</t>
  </si>
  <si>
    <t xml:space="preserve">80,iš kurių visiškai pakanka 19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</si>
  <si>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84, iš kurių 29 visiškai pakanka (2022 sausis)</t>
  </si>
  <si>
    <t>82, iš kurių 25 visiškai pakanka (2023 sausis)</t>
  </si>
  <si>
    <t>2022 m.</t>
  </si>
  <si>
    <t>SM 2022-10-28 suorganizavo renginį esamiems, galimiems pareiškėjams ir projektų vykdytojams apie 2014–2020 m. finansavimo laikotarpio tinkamą užbaigimą ir ES fondų investicijų valdymą 2021–2027 m., taip pat sukurtas aiškinamasis filmukas apie 2014-2020 ir 2021-2027 m. ES fondų investicijų naudą susisiekimo sektoriui. Sutaupymai atsirado, nes pasirašyta sutartis mažesne verte nei buvo planuota</t>
  </si>
  <si>
    <t>1.2. Potencialių pareiškėjų (valstybės ir savivaldybių institucijų ar įstaigų), kurie žino svetainę www.esinvesticijos.lt kaip pagrindinę svetainę informacijai apie ES investicijas gauti, dalis.  (Rodiklis pasiektas 2019 m.)</t>
  </si>
  <si>
    <t xml:space="preserve">38 (2015 m. gruodis)
</t>
  </si>
  <si>
    <t>43 (2022 m.)</t>
  </si>
  <si>
    <t>54,2 (2016 m. rugsėjis)</t>
  </si>
  <si>
    <t>46 (2017 m. lapkrtis)</t>
  </si>
  <si>
    <t>53 (2018 m. lapkritis)</t>
  </si>
  <si>
    <t>63 (2019 m. spalis)</t>
  </si>
  <si>
    <t>57 (2021 m. kovas)</t>
  </si>
  <si>
    <t>55 (2022 sausis)</t>
  </si>
  <si>
    <t>78 (2023 sausis)</t>
  </si>
  <si>
    <t xml:space="preserve">1.3. Potencialių pareiškėjų (valstybės ir savivaldybių institucijų ar įstaigų), kurie pritaria nuostatai, kad ES investicijos valdomos profesionaliai, dalis. </t>
  </si>
  <si>
    <t xml:space="preserve">78 (2015 m. gruodis) </t>
  </si>
  <si>
    <t>83 (2022 m.)</t>
  </si>
  <si>
    <t>64 (2017 m. lapkritis)</t>
  </si>
  <si>
    <t>66 (2018 m. lapkritis)</t>
  </si>
  <si>
    <t>77 (2019 m. spalis)</t>
  </si>
  <si>
    <t>73 (2021 m. kovas)</t>
  </si>
  <si>
    <t>81 (2022 sausis)</t>
  </si>
  <si>
    <t>84 (2023 sausis)</t>
  </si>
  <si>
    <t>1.4. Potencialių pareiškėjų (valstybės ir savivaldybių institucijų ar įstaigų), kurie ES investicijų administravimą vertina kaip skaidrų, dalis.</t>
  </si>
  <si>
    <t>75 (2015 m. gruodis)</t>
  </si>
  <si>
    <t>80 (2022 m.)</t>
  </si>
  <si>
    <t>79,4 (2016 m. rugsėjis</t>
  </si>
  <si>
    <t>84 (2017 m. lapkritis)</t>
  </si>
  <si>
    <t>74 (2018 m. lapkritis)</t>
  </si>
  <si>
    <t>76 (2019 m. spalis)</t>
  </si>
  <si>
    <t>74 (2021 m. kovas)</t>
  </si>
  <si>
    <t>76 (2022 sausis)</t>
  </si>
  <si>
    <t>87 (2023 sausis)</t>
  </si>
  <si>
    <t>1.5. Potencialių pareiškėjų (valstybės ir savivaldybių institucijų ar įstaigų), kurie suvokia, kad, siekdami savo projekto rezultatų, prisideda prie visos šalies rezultatų, dalis.</t>
  </si>
  <si>
    <t>97 (2015 m. gruodis)</t>
  </si>
  <si>
    <t>100 (2022 m.)</t>
  </si>
  <si>
    <t>99,3 (2016 m. rugsėjis)</t>
  </si>
  <si>
    <t>99 (2017 m. rugsėjis)</t>
  </si>
  <si>
    <t>98 (2018 m. lapkritis)</t>
  </si>
  <si>
    <t>95 (2019 m. spalis)</t>
  </si>
  <si>
    <t>99 (2021 m. kovas)</t>
  </si>
  <si>
    <t>100 (2022 sausis)</t>
  </si>
  <si>
    <t>nematuota, 2021 m. buvo k19 klausimas</t>
  </si>
  <si>
    <t>1 
Rodiklio reikšmė pasiekta 2021 m.</t>
  </si>
  <si>
    <t>CPVA</t>
  </si>
  <si>
    <t>7. Pareiškėjų ir projektų vykdytojų informavimas</t>
  </si>
  <si>
    <t xml:space="preserve">1. Aiškiai pateikti projektų vykdytojams  informaciją.
2. Aiškiai pateikti potencialiems pareiškėjams informaciją. 
3. Skatinti projektų vykdytojus dalintis patirtimi tarpusavyje, pristatyti projektų rezultatus. 
4. Skatinti tikslinių auditorijų  iniciatyvumą, lankstumą, operatyvumą.
5. Stiprinti įgyvendinančiųjų institucijų kaip partnerių, o ne kontroliuojančiųjų institucijų įvaizdį.
</t>
  </si>
  <si>
    <t>CPVA administruojamų priemonių pareiškėjai ir projektų vykdytojai; ES investicijas administruojančios institucijos</t>
  </si>
  <si>
    <t>1.1. Projektų vykdytojų, kuriems informacija yra aiški, dalis.</t>
  </si>
  <si>
    <t xml:space="preserve">Proc.
</t>
  </si>
  <si>
    <t xml:space="preserve">44 (2016 m.)
</t>
  </si>
  <si>
    <t xml:space="preserve">54 (2022 m.)
</t>
  </si>
  <si>
    <t>44 (2016 m. rugsėjis)</t>
  </si>
  <si>
    <t>75 (2017 m. lapkritis)</t>
  </si>
  <si>
    <t xml:space="preserve">79 (2018 m. lapkritis) </t>
  </si>
  <si>
    <t>86 (2019 m. spalis)</t>
  </si>
  <si>
    <t>86 (2021 m. kovas)</t>
  </si>
  <si>
    <t>75 (2023 sausis)</t>
  </si>
  <si>
    <t>Laikoma, kad pagrindinės veiklos (nors ir ne pilna apimtimi) įgyvendintos. 2022 m. buvo planuota išleisti 110 000 EUR esinvesticijos.lt plėtrai bei priežiūrai, bet dėl išorės faktoriaus - nepaleista INVESTIS platforma ir  nepadaryta  II iteracija - išleista tik 79 543,14 EUR.  Dėl tos pačios priežasties nebuvo  panaudoti ir 30 000 EUR  numatytų lėšų esinvesticijos.lt turinio projekto vystymui, nes nebuvo atlikta savalaikių išorės sprendimų, be kurių turinio vienetai nelaglėjo būti įgyvendinami tinkamai. Taip pat nepanaudota 30 000 EUR numatytų lėšų parodos "Kaita" vykdymui, nes dėl tiekėjo nevykdomų įsipareigojimų  buvo nutraukta paslaugos atlikimo sutartis. LIkusi dalis lėšų nepanaudota, nes pasikeitus poreikiams bei situacijai dalies pirkimų atsisakyta arba jie buvo perkelti kitiems metams.</t>
  </si>
  <si>
    <t>2.1. Potencialių pareiškėjų (viešųjų įstaigų, valstybės ir savivaldybių institucijų ar įstaigų ir nevyriausybinių organizacijų), kuriuos tenkina turima informacija, dalis (bendras visų institucijų rodiklis).</t>
  </si>
  <si>
    <t xml:space="preserve">Proc. </t>
  </si>
  <si>
    <t>86 (2016 m.)</t>
  </si>
  <si>
    <t>91 (2022 m.)</t>
  </si>
  <si>
    <t>81,7 (2016 m. rugsėjis)</t>
  </si>
  <si>
    <t>77 (2018 m. lapkritis)</t>
  </si>
  <si>
    <t>84 (2019 m. spalis)</t>
  </si>
  <si>
    <t xml:space="preserve">77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</si>
  <si>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67 (2022 sausis)</t>
  </si>
  <si>
    <t>73 (2023 sausis)</t>
  </si>
  <si>
    <t>3.1. Projektų vykdytojų, suprantančių patirties dalinimosi su kitais projektų vykdytojais, naudą, dalis.</t>
  </si>
  <si>
    <t>95 (2021 m.)</t>
  </si>
  <si>
    <t>95 (2022 m.)</t>
  </si>
  <si>
    <t>Tyrimas 2020 m. dėl COVID-19 nebuvo atliktas, bus atliekamas 2021 m.</t>
  </si>
  <si>
    <t>95 proc. (2021 m.)</t>
  </si>
  <si>
    <t>Nematuota, CPVA planuoja matuoti 2023 m.</t>
  </si>
  <si>
    <t>-</t>
  </si>
  <si>
    <t>4.1. Projektų vykdytojų, kurie pritaria, kad institucijų profesionalumas ir skaidrumas priimant sprendimus nuolat auga, dalis</t>
  </si>
  <si>
    <t>71 (visiškai sutinka ir greičiau sutinka, 2016 m.)</t>
  </si>
  <si>
    <t>81 (2022 m.)</t>
  </si>
  <si>
    <t>94 (2017 m. laprkitis)</t>
  </si>
  <si>
    <t>91 (2018 m. lapkritis)</t>
  </si>
  <si>
    <t>94 (2019 m. spalis)</t>
  </si>
  <si>
    <t>75 (2021 m. kovas) (profesionalumo ir skaidrumo vidurkis)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</si>
  <si>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90 (2022 sausis) (profesionalumo ir skaidrumo vidurkis) (bendras rodiklis)</t>
  </si>
  <si>
    <t>93 (2023 sausis) (profesionalumo ir skaidrumo vidurkis) (bendras rodiklis)</t>
  </si>
  <si>
    <t xml:space="preserve">5.1. Projektų vykdytojų, kurie pritaria nuostatai, kad agentūros – partneriai, o ne kontroliuojančiosios institucijos, dalis. </t>
  </si>
  <si>
    <t>59 (visiškai sutinka ir greičiau sutinka, 2016 m. spalis)</t>
  </si>
  <si>
    <t>69 (2022 m.)</t>
  </si>
  <si>
    <t>58,8 (2016 m. spalis)</t>
  </si>
  <si>
    <t>79 (2017 m. lapkritis)</t>
  </si>
  <si>
    <t>80 (2018 m. lapkritis)</t>
  </si>
  <si>
    <t>88 (2019 m. spalis)</t>
  </si>
  <si>
    <t>72 (2021 m. kovas) (tik CPVA)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</si>
  <si>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87 (2022 sausis) (tik CPVA)</t>
  </si>
  <si>
    <t>84 (2023 sausis) (tik CPVA)</t>
  </si>
  <si>
    <t>5.2. Dalis gyventojų, kurie asmeniškai pajuto ES investicijų naudą</t>
  </si>
  <si>
    <t>74, iš kurių tikrai pajuto 26
(2015 m. lapkritis)</t>
  </si>
  <si>
    <t>77 proc. (2023 m.)</t>
  </si>
  <si>
    <t>ŠMSM</t>
  </si>
  <si>
    <t>8. Pareiškėjų informavimas</t>
  </si>
  <si>
    <t xml:space="preserve">1. Aiškiai pateikti potencialiems pareiškėjams informaciją.
</t>
  </si>
  <si>
    <t>Mokslo ir studijų institucijos, suaugusiųjų švietimo centrai, darbdavių asociacijos, profesinio mokymo įstaigų asociacijos, neformaliojo švietimo organizacijos</t>
  </si>
  <si>
    <t xml:space="preserve">1.1. Potencialių pareiškėjų  (viešųjų įstaigų, valstybės ir savivaldybių institucijų ar įstaigų ir nevyriausybinių organizacijų), kuriuos tenkina turima informacija, dalis.
</t>
  </si>
  <si>
    <t xml:space="preserve">Proc.
</t>
  </si>
  <si>
    <t xml:space="preserve">80, iš kurių informacijos visiškai pakanka 20 (2015 m. lapkritis) 
  </t>
  </si>
  <si>
    <t xml:space="preserve">88, iš kurių informacijos visiškai pakanka 30 (2018 m.), 65 (2023 m.)
</t>
  </si>
  <si>
    <t>75, iš jų visiškai pakanka - 23 (2017 m. lapkritis)</t>
  </si>
  <si>
    <t>76, iš jų visiškai pakanka - 25 (2018 m. lapkritis)</t>
  </si>
  <si>
    <t>84, iš jų visiškai pakanka - 28 (2019 m. spalis)</t>
  </si>
  <si>
    <t xml:space="preserve">80, iš jų visiškai pakanka – 18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</si>
  <si>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67, iš jų visiškai pakanka 18 (2022 sausis)</t>
  </si>
  <si>
    <t>73, iš jų visiškai pakanka 22  (2023 sausis)</t>
  </si>
  <si>
    <t>2023 IV ketv.</t>
  </si>
  <si>
    <t>Pagrindinės komunikacijos kampanijos veiklos nebuvo įgyevndintos, pirkimai nusikėlė į 2023 m.</t>
  </si>
  <si>
    <t xml:space="preserve">LMT </t>
  </si>
  <si>
    <t>9. Pareiškėjų ir projektų vykdytojų informavimas</t>
  </si>
  <si>
    <t>1. Aiškiai pateikti potencialiems pareiškėjams informaciją.
2. Skatinti potencialių pareiškėjų ir ES investicijas administruojančių institucijų partnerystę.
3. Aiškiai pateikti projektų vykdytojams informaciją.</t>
  </si>
  <si>
    <t xml:space="preserve">LMT administruojamų priemonių potencialūs pareiškėjai ir  projektų vykdytojai
</t>
  </si>
  <si>
    <t xml:space="preserve">1.1. Potencialių pareiškėjų, kuriuos tenkina turima informacija, dalis (bendras rodiklis visoms institucijoms).
</t>
  </si>
  <si>
    <t xml:space="preserve">Proc.
</t>
  </si>
  <si>
    <t xml:space="preserve">75 iš kurių informacijos visiškai pakanka 14 (2015 m. lapkritis)
</t>
  </si>
  <si>
    <t xml:space="preserve">75, iš kurių informacijos visiškai pakanka 25 (2022 m.) 
</t>
  </si>
  <si>
    <t>73,2 iš kurių informacijos visiškai pakanka – 22 (2016 m. rugsėjis)</t>
  </si>
  <si>
    <t>66, iš jų visiškai pakanka - 21,5 (2017 m. lapkritis)</t>
  </si>
  <si>
    <t>67, iš jų visiškai pakanka –17 (2021 m. kovas)</t>
  </si>
  <si>
    <t>65, iš jų visiškai pakanka 20 (2022 sausis)</t>
  </si>
  <si>
    <t>67, iš jų visiškai pakanka 21 (2023 sausis)</t>
  </si>
  <si>
    <t xml:space="preserve">2023 m. </t>
  </si>
  <si>
    <t>Viešieji pirkimai įvykdyti ir veiklos įgyvendintos planuota apimtimi, tačiau paslaugos įsigytos gerokai pigiau nei buvo numatyta skirti lėšų.</t>
  </si>
  <si>
    <t>1.2. Potencialių pareiškėjų, kurie žino svetainę www.esinvesticijos.lt kaip pagrindinę svetainę informacijai apie ES investicijas gauti, dalis (bendras rodiklis visoms institucijoms).</t>
  </si>
  <si>
    <t>45 (2022 m.)</t>
  </si>
  <si>
    <t>46,7 (2016 m. rugsėjis)</t>
  </si>
  <si>
    <t>1.3. Potencialių pareiškėjų, kurie pagrindinę informaciją apie ES investicijas randa svetainėje www.esinvesticijos.lt, dalis (bendras rodiklis visoms institucijoms).</t>
  </si>
  <si>
    <t>59 (2015 m. lapkritis)</t>
  </si>
  <si>
    <t xml:space="preserve">65 (2022 m.) </t>
  </si>
  <si>
    <t>64,8 (2016 m. rugsėjis)</t>
  </si>
  <si>
    <t>68 (2017 m. lapkritis)</t>
  </si>
  <si>
    <t>71 (2018 m. lapkritis)</t>
  </si>
  <si>
    <t>69 (2019 m. spalis)</t>
  </si>
  <si>
    <t>63 (2021 m. kovas)</t>
  </si>
  <si>
    <t>70 (2022 sausis)</t>
  </si>
  <si>
    <t xml:space="preserve">2.1. Potencialių pareiškėjų, kurie pritaria nuostatai, kad ES investicijos valdomos profesionaliai, dalis (bendras rodiklis visoms institucijoms). </t>
  </si>
  <si>
    <t xml:space="preserve">70 (2015 m. lapkritis) </t>
  </si>
  <si>
    <t>75 (2022 m.)</t>
  </si>
  <si>
    <t>71,4 (2016 m. rugsėjis)</t>
  </si>
  <si>
    <t>55 (2017 m. lapkritis)</t>
  </si>
  <si>
    <t>51, iš jų visiškai sutinka - 5 (2018 m. lapkritis)</t>
  </si>
  <si>
    <t>61, iš jų visiškai sutinka - 6 (2019 m. spalis)</t>
  </si>
  <si>
    <t>56, iš jų visiškai sutinka – 7 (2021 kovas)</t>
  </si>
  <si>
    <t>62, iš jų visškai sutinka –8 (2022 sausis)</t>
  </si>
  <si>
    <t>70, iš jų visškai sutinka 7 (2023 sausis)</t>
  </si>
  <si>
    <t>2.2. Potencialių pareiškėjų, kurie ES investicijų administravimą vertina kaip skaidrų, dalis (bendras rodiklis visoms institucijoms).</t>
  </si>
  <si>
    <t>55 (2015 m. lapkritis)</t>
  </si>
  <si>
    <t>65 (2022 m.)</t>
  </si>
  <si>
    <t>57 (2016 m. rugsėjis)</t>
  </si>
  <si>
    <t>66 (2017 m. lapkritis)</t>
  </si>
  <si>
    <t xml:space="preserve">74 proc. (2018 m. lapkritis) </t>
  </si>
  <si>
    <t xml:space="preserve">68 proc. (2019 m. spalis) </t>
  </si>
  <si>
    <t>56, iš jų visiškai sutinka – 8 (2021 kovas)</t>
  </si>
  <si>
    <t>65, iš jų viškai sutinka 15 (2022 sausis)</t>
  </si>
  <si>
    <t>71, iš jų viškai sutinka 17 (2023 sausis)</t>
  </si>
  <si>
    <t xml:space="preserve">3.1. Projektų vykdytojų, kuriems pakanka informacijos apie tai, kaip tinkamai įgyvendinti projektą, dalis.
</t>
  </si>
  <si>
    <t>0*</t>
  </si>
  <si>
    <t>72,8 (2016 m. spalis)</t>
  </si>
  <si>
    <t>77 (2017 m. lapkritis)</t>
  </si>
  <si>
    <t>71 (2018 m. lapritis)</t>
  </si>
  <si>
    <t>75 (2019 m. spalis)</t>
  </si>
  <si>
    <t>66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</si>
  <si>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84 (2022 sausis) (tik LMT)</t>
  </si>
  <si>
    <t>88 (2023 sausis) (tik LMT)</t>
  </si>
  <si>
    <t>3.2. Projektų vykdytojų, kurie pritaria, kad institucijų profesionalumas, skaidrumas priimant sprendimus nuolat auga, dalis.</t>
  </si>
  <si>
    <t>Profesionalumas nuolat auga –61,8 proc., skaidrumas nuolat auga –56,2 proc. (2016 m. spalis)</t>
  </si>
  <si>
    <t xml:space="preserve">profesionalumas - 84, skaidrumas - 81 (2017 m. lapkritis) </t>
  </si>
  <si>
    <t>profesionalumas - 76, skaidrumas - 80 (2018 m. lapkritis)</t>
  </si>
  <si>
    <t>profesionalumas – 67 proc. (2019 m. spalis); skaidrumas – 87 proc. (2019 m. spalis)</t>
  </si>
  <si>
    <t>profesionalumas – 47; skaidrumas – 39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</si>
  <si>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profesionalumas – 85; skaidrumas – 79 (2022 sausis) (tik LMT)</t>
  </si>
  <si>
    <t>profesionalumas – 87; skaidrumas – 80 (2023 sausis) (tik LMT)</t>
  </si>
  <si>
    <t>ESFA</t>
  </si>
  <si>
    <t>10. Pareiškėjų ir projektų vykdytojų informavimas</t>
  </si>
  <si>
    <t xml:space="preserve">1. Aiškiai pateikti potencialiems pareiškėjams informaciją.
2. Skatinti pareiškėjų ir ES investicijas administruojančių institucijų partnerystę.
3. Skatinti partnerystę su tikslinėmis  auditorijomis, lygiavertį bendradarbiavimą siekant bendro tikslo. 
4. Skatinti projekto vykdytojus dalytis patirtimi tarpusavyje, pristatyti projektų rezultatus.
5. Aiškiai pateikti projektų vykdytojams informaciją.
6. Stiprinti įgyvendinančiųjų institucijų kaip partnerių, o ne kaip kontroliuojančiųjų institucijų įvaizdį.
</t>
  </si>
  <si>
    <t xml:space="preserve">Europos socialinio fondo agentūros administruojamų priemonių potencialūs pareiškėjai ir projektų vykdytojai
</t>
  </si>
  <si>
    <t>1.1. Potencialių pareiškėjų, kuriuos tenkina turima informacija, dalis (bendras rodiklis visoms institucijoms).</t>
  </si>
  <si>
    <t xml:space="preserve">Proc. 
</t>
  </si>
  <si>
    <t xml:space="preserve">75 iš kurių informacijos visiškai pakanka 15 (2015 m. lapkritis)
</t>
  </si>
  <si>
    <t>70 (2023 m.)</t>
  </si>
  <si>
    <t>73,2, iš kurių informacijos visiškai pakanka – 22 (2016 m. rugsėjis)</t>
  </si>
  <si>
    <t>Pagrindinės veiklos buvo įgyvendintos: suorganizuotas ESFA proejktų sėkmės istorijų konkursas "Žingsniai", konkurso viešinimas žiniasklaidoje ir kt. veiklos</t>
  </si>
  <si>
    <t>3.1. Potencialių pareiškėjų, kurie žino apie svetainę www.esinvesticijos.lt kaip pagrindinį šaltinį informacijai apie ES investicijas gauti, dalis (bendras rodiklis visoms institucijoms). (Rodiklis pasiektas 2019 m. 55 proc.)</t>
  </si>
  <si>
    <t xml:space="preserve">49 (2023 m.)
</t>
  </si>
  <si>
    <t xml:space="preserve">3.2. Potencialių pareiškėjų, kurie pagrindinę informaciją randa svetainėje www.esinvesticijos.lt, dalis (bendras rodiklis visoms institucijoms).
</t>
  </si>
  <si>
    <t>69 (2023 m.)</t>
  </si>
  <si>
    <t>4.1. Per paskutinį pusmetį dalinosi projektų vykdymo patirtimi su kitų projektų vykdytojais. (Rodiklis pasiektas 2019 m. 54 proc.)</t>
  </si>
  <si>
    <t>48 (2016 m. spalis)</t>
  </si>
  <si>
    <t>53 (2023 m.)</t>
  </si>
  <si>
    <t>68 (2022 sausis) (tik ESFA)</t>
  </si>
  <si>
    <t>49 (2023 sausis) (tik ESFA)</t>
  </si>
  <si>
    <t>1
Krypties detalizavimo lentelėje nurodyta, kad rodiklio reikšmė pasiekta</t>
  </si>
  <si>
    <t>5.1. Projektų vykdytojų, kuriems pakanka informacijos apie tai, kaip tinkamai įgyvendinti projektą, dalis. (VP rodiklio 2023 m. reikšmė - 65 proc.)</t>
  </si>
  <si>
    <t>68 (2016)</t>
  </si>
  <si>
    <t>86 (2023 m.)</t>
  </si>
  <si>
    <t>78,5 (2016 m. spalis)</t>
  </si>
  <si>
    <t>87 (2018 m. lapkritis)</t>
  </si>
  <si>
    <t>83 (2019 m. spalis)</t>
  </si>
  <si>
    <t>85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</si>
  <si>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94 (2022 sausis) (tik ESFA)</t>
  </si>
  <si>
    <t>5.2. Projektų vykdytojų, kurie pritaria, kad institucijų (a) profesionalumas, (b) skaidrumas priimant sprendimus nuolat auga, dalis</t>
  </si>
  <si>
    <t>56 (2016 m.)</t>
  </si>
  <si>
    <t>90 (2023 m.)</t>
  </si>
  <si>
    <t>a) 68,7, iš kurių visiškai sutinka – 20,8 (2016 m. spalis)
b) 59,8</t>
  </si>
  <si>
    <t>a) 91, iš kurių visiškai sutinka 34                b) 85</t>
  </si>
  <si>
    <t>a) 96   , iš kurių visiškai sutinka - 34  b) 99 ( 2018 m. lapkritis)</t>
  </si>
  <si>
    <t>a) 89, iš kurių visiškai sutinka 32 (2019 m. spalis); b) 91, iš kurių visiškai sutinka 38 (2019 m. spalis)</t>
  </si>
  <si>
    <t>a) 76, iš kurių visiškai sutinka 30 b) 74, iš kurių visiškai sutinka 30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</si>
  <si>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 xml:space="preserve">a) 97, iš kurių visiškai sutinka 41 b) 97, iš kurių visiškai sutinka 44 (2022 sausis) (tik ESFA) </t>
  </si>
  <si>
    <t xml:space="preserve">a) 96, iš kurių visiškai sutinka 43 b) 97, iš kurių visiškai sutinka 46 (2023 sausis) (tik ESFA) </t>
  </si>
  <si>
    <t>6.1. Projektų vykdytojų, kurie pritaria nuostatai, kad agentūros – partneriai, o ne kontroliuojančiosios institucijos, dalis.</t>
  </si>
  <si>
    <t>69 (2017 m.)</t>
  </si>
  <si>
    <t>80 (2023 m.)</t>
  </si>
  <si>
    <t>59,8, iš kurių visiškai sutinka – 16 (2016 m. spalis)</t>
  </si>
  <si>
    <t>86, iš kurių visiškai sutinka 32 (2017 m. lapkritis)</t>
  </si>
  <si>
    <t>89 ,iš kurių visiškai sutinka 33 (2018 m. lapkritis)</t>
  </si>
  <si>
    <t>83, iš kurių visiškai sutinka 35 (2019 m. spalis)</t>
  </si>
  <si>
    <t>67, iš kurių visiškai sutinka 31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</si>
  <si>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89, iš kurių visiškai sutinka 38 (2022 sausis) (tik ESFA)</t>
  </si>
  <si>
    <t>85, iš kurių visiškai sutinka 46 (2023 sausis) (tik ESFA)</t>
  </si>
  <si>
    <t>6.2. Projektų vykdytojų, kurie pritaria nuostatai, kad įgyvendinamo projekto naudą pajus Lietuvos gyventojai, dalis.</t>
  </si>
  <si>
    <t>89 (2023 m.)</t>
  </si>
  <si>
    <t xml:space="preserve">94,5 
(2016 m. spalis)
</t>
  </si>
  <si>
    <t>97, iš kurių visiškai sutinka 69 (2017 m. lapkritis)</t>
  </si>
  <si>
    <t>97, iš kurių visiškai sutinka 65 (2018 m. lapkritis)</t>
  </si>
  <si>
    <t>99, iš kurių visiškai sutinka 66 (2019 spalis)</t>
  </si>
  <si>
    <t xml:space="preserve">97, iš kurių visiškai sutinka 70 (2021 m. kovas) (tik ESFA) </t>
  </si>
  <si>
    <t xml:space="preserve">98, iš kurių visiškai sutinka 80 (2022 sausis) (tik ESFA) </t>
  </si>
  <si>
    <t xml:space="preserve">98, iš kurių visiškai sutinka 68 (2023 sausis) (tik ESFA) </t>
  </si>
  <si>
    <t>VRM</t>
  </si>
  <si>
    <t>11. Vidaus reikalų ministerijos informavimo veiklos</t>
  </si>
  <si>
    <t>1. Aiškiai pateikti potencialiems pareiškėjams informaciją. 
2. Skatinti potencialių pareiškėjų ir ES investicijas administruojančių institucijų partnerystę. 
3. Skatinti tikslines auditorijas vertinti visuomenės, projekto tikslinių auditorijų nuomonę kaip itin svarbią projekto vykdymo sėkmei.
4. Skatinti tikslines auditorijas vertinti projekto komunikacijos priemonių efektyvumą iš tikslinės auditorijos pusės. Skatinti partnerystę su tikslinėmis auditorijomis, lygiavertį bendradarbiavimą kartu siekiant bendro rezultato.</t>
  </si>
  <si>
    <t>Valstybinio, regioninio planavimo projektų potencialūs pareiškėjai ir vykdytojai, regionų plėtros tarybos (socialiniai partneriai), vietos veiklos grupės, nevyriausybinės organizacijos,  asociacijos, verslo įmonės, bendruomenių inicijuotų vietos veiklos projektų vykdytojai, netiesiogiai galintys pasinaudoti rezultatais pagal Integruotų teritorijų vystymo programą</t>
  </si>
  <si>
    <t xml:space="preserve">1.1. Potencialių pareiškėjų (viešųjų įstaigų, valstybės ir savivaldybių institucijų ar įstaigų ir nevyriausybinių organizacijų), kuriuos tenkina turima informacija, dalis. 
</t>
  </si>
  <si>
    <t xml:space="preserve">Proc.
</t>
  </si>
  <si>
    <t xml:space="preserve">80, iš kurių informacijos visiškai pakanka 20 (2015 m. lapkritis)
</t>
  </si>
  <si>
    <t xml:space="preserve">80, iš kurių informacijos visiškai pakanka 25
 (2023 m.)
</t>
  </si>
  <si>
    <t>75, iš kurių informacijos pilnai pakanka - 23 (2017 m. lapkritis)</t>
  </si>
  <si>
    <t>77, iš kurių informacijos pilnai pakanka - 21 (2018 m. lapkritis)</t>
  </si>
  <si>
    <t>84, iš kurių informacijos pilnai pakanka - 28 (2019 m. spalis)</t>
  </si>
  <si>
    <t xml:space="preserve">80, iš jų visiškai pakanka – 18 (2021 m. kovas) (vidurkis)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</si>
  <si>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Laikoma, kad pagrindinė veikla neįgyvendinta nes buvo atsisakyta suplanuotos didelės vertės veiklos - renginio (poreikio paraiškoje komunikacijos kampanijos vykdymui buvo išleista mažiau lėšų, nes vienos suplanuotos veiklos buvo atsisakyta (už 65 tūkst. Eur. buvo planuojamas renginys, skirtas apžvelgti įgyvendintus projektus ir jo koncepcija kūriama tik dabar, nes dėl Covid pandemijos ir dėl šiuo metu vykstančio Rusijos karo su Ukraina poveikio ekonomikai (išaugusių rangos darbų kainų, pabrangusių medžiagų ir transportavimo išlaidų kainų, sutrikusio medžiagų tiekimo ir pan.), dar nėra tiek baigtų įgyvendinti projektų, kiek tikėtasi). Mažesnį lėšų panaudojimą taip pat lėmė ir tai, kad daliai veiklų vykdyti reikalingos paslaugos buvo nupirktos už mažesnę sumą.  </t>
  </si>
  <si>
    <t xml:space="preserve">2.1. Potencialių pareiškėjų, kurie pritaria nuostatai, kad ES investicijos valdomos profesionaliai, dalis.  
</t>
  </si>
  <si>
    <t>70 (2015 m. lapkritis)</t>
  </si>
  <si>
    <t>83,3 (2016 m. rugsėjis)</t>
  </si>
  <si>
    <t>63 (2018 m. lapkritis)</t>
  </si>
  <si>
    <t>56 (2021 m. kovas)</t>
  </si>
  <si>
    <t>70 (2023 sausis)</t>
  </si>
  <si>
    <t>3.1. Potencialių pareiškėjų (viešųjų įstaigų, valstybės ir savivaldybių institucijų ar įstaigų ir nevyriausybinių organizacijų), kurie ES investicijų administravimą vertina kaip skaidrų, dalis.</t>
  </si>
  <si>
    <t>74 (2015 m. lapkritis)</t>
  </si>
  <si>
    <t>78 proc. (2023 m.)</t>
  </si>
  <si>
    <t>76,7 (2016 m. rugsėjis)</t>
  </si>
  <si>
    <t>78 (2019 m. spalis)</t>
  </si>
  <si>
    <t>66 (2021 m. kovas) (vidurkis)</t>
  </si>
  <si>
    <t>63 (2022 sausis)</t>
  </si>
  <si>
    <t xml:space="preserve">4.1. Planavimo (regioninio ar valstybinio) projektų vykdytojų, kurie vykdo išankstines konsultacijas su projekto tikslinėmis auditorijomis, dalis. </t>
  </si>
  <si>
    <t>78 (2023 m.)</t>
  </si>
  <si>
    <t xml:space="preserve">67,3 
(2016 m. spalis)
</t>
  </si>
  <si>
    <t>74 (2017 m. lapkritis)</t>
  </si>
  <si>
    <t>58 (2018 m. lapkritis)</t>
  </si>
  <si>
    <t>64 (2019 spalis)</t>
  </si>
  <si>
    <t>73 (2022 sausis)</t>
  </si>
  <si>
    <t>LVPA (IA)</t>
  </si>
  <si>
    <t>12. Potencialių pareiškėjų ir projektų vykdytojų informavimas</t>
  </si>
  <si>
    <t xml:space="preserve">1. Tiksliai, aiškiai ir operatyviai pateikti informaciją potencialiems ir esamiems pareiškėjams apie ES investicijų galimybes ir  LVPA administruojamas priemones 2014–2020 m. laikotarpiu.
2. Tiksliai, aiškiai ir operatyviai pateikti informaciją ES investicijų projektų vykdytojams apie projektų įgyvendinimą.
3. Skatinti LVPA ir tikslinių grupių partnerystę siekiant formuoti gerąją paraiškų teikimo ir projektų įgyvendinimo praktiką, taip išvengiant klaidų.
</t>
  </si>
  <si>
    <t>Potencialūs ir esami pareiškėjai – verslo įmonės; potencialūs ir esami pareiškėjai – viešieji juridiniai asmenys; projektų vykdytojai; asocijuotosios verslo struktūros, klasteriai</t>
  </si>
  <si>
    <t xml:space="preserve">1.1. Pareiškėjų, kuriems pakanka informacijos apie LVPA administruojamas priemones ir paraiškos parengimo procesą, dalis. 
</t>
  </si>
  <si>
    <t xml:space="preserve">Proc.
</t>
  </si>
  <si>
    <t xml:space="preserve">62 (2015 m.)
</t>
  </si>
  <si>
    <t>72 (2023 m.)</t>
  </si>
  <si>
    <t>74,6 (2016 m. rugsėjis)</t>
  </si>
  <si>
    <t>58 (2017 m. lapkritis)</t>
  </si>
  <si>
    <t>55 (2018 m. lapkritis)</t>
  </si>
  <si>
    <t>48 (2019 spalis)</t>
  </si>
  <si>
    <t>43 (2021 m. kovas)</t>
  </si>
  <si>
    <t>61 (2022 sausis)</t>
  </si>
  <si>
    <t>nematuota, 2021 m. buvo k4.2 klausimas</t>
  </si>
  <si>
    <t>0
Kadangi 2014-2020 m. potencialių pareiškėjų nebėra, buvo nuspręsta, jog potencialių pareiškėjų rodiklių galutinės pasiektos reikšmės bus fiksuojamos 2021 m.</t>
  </si>
  <si>
    <t>Pagrindinės kampanijos veiklos buvo įgyvendintos</t>
  </si>
  <si>
    <t>2.1. Projektų vykdytojų, kuriems pakanka informacijos apie tai, kaip tinkamai įgyvendinti projektą, dalis. (VP rodiklio reikšmė - 65 proc. 2023 m.).</t>
  </si>
  <si>
    <t>72 (2015 m.)</t>
  </si>
  <si>
    <t>87 (2023 m.)</t>
  </si>
  <si>
    <t>69,6 (2016 m. rugsėjis)</t>
  </si>
  <si>
    <t>88, iš jų pilnai pakanka - 28 (2017 m. lapkritis)</t>
  </si>
  <si>
    <r>
      <t xml:space="preserve">84, iš jų pilnai pakanka - </t>
    </r>
    <r>
      <rPr>
        <b/>
        <sz val="12"/>
        <color theme="1"/>
        <rFont val="Times New Roman"/>
        <family val="1"/>
        <charset val="186"/>
      </rPr>
      <t>36</t>
    </r>
    <r>
      <rPr>
        <sz val="12"/>
        <color theme="1"/>
        <rFont val="Times New Roman"/>
        <family val="1"/>
        <charset val="186"/>
      </rPr>
      <t xml:space="preserve"> (2018 m. lapkritis)</t>
    </r>
  </si>
  <si>
    <r>
      <t xml:space="preserve">87, iš jų pilnai pakanka - </t>
    </r>
    <r>
      <rPr>
        <b/>
        <sz val="12"/>
        <color theme="1"/>
        <rFont val="Times New Roman"/>
        <family val="1"/>
        <charset val="186"/>
      </rPr>
      <t>38</t>
    </r>
    <r>
      <rPr>
        <sz val="12"/>
        <color theme="1"/>
        <rFont val="Times New Roman"/>
        <family val="1"/>
        <charset val="186"/>
      </rPr>
      <t xml:space="preserve"> (2019 m. spalis)</t>
    </r>
  </si>
  <si>
    <t>76, iš jų visiškai pakanka – 22 (2021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</si>
  <si>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87, iš jų visiškai pakanka – 31 (2022 sausis) (tik LVPA)</t>
  </si>
  <si>
    <t>90, iš jų visiškai pakanka – 35 (2023 sausis) (tik IA)</t>
  </si>
  <si>
    <t>3.1. Projektų vykdytojų, vertinančių įgyvendinančiąją instituciją kaip partnerę, dalis.</t>
  </si>
  <si>
    <t>22 (2015 m.)</t>
  </si>
  <si>
    <t>81 (2023 m.)</t>
  </si>
  <si>
    <t>49 (2016 m. spalis)</t>
  </si>
  <si>
    <t>78 (2017 m. lapkritis)</t>
  </si>
  <si>
    <t xml:space="preserve">79, iš jų visiškai sutinka - 24 (2018 m. lapkritis) </t>
  </si>
  <si>
    <t>85, iš jų visiškai sutinka – 25 (2019 m. spalis)</t>
  </si>
  <si>
    <t>60, iš jų visiškai sutinka – 17 (2021 m.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</si>
  <si>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78, iš jų visiškai sutinka – 28  (2022 sausis) (tik LVPA)</t>
  </si>
  <si>
    <t>85, iš jų visiškai sutinka – 26  (2023 sausis) (tik IA)</t>
  </si>
  <si>
    <t>INVEGA</t>
  </si>
  <si>
    <t>13. Pareiškėjų informavimas</t>
  </si>
  <si>
    <t>1. Aiškiai pateikti potencialiems pareiškėjams informaciją.</t>
  </si>
  <si>
    <t>INVEGA administruojamų priemonių potencialūs pareiškėjai (smulkiojo ir vidutinio verslo (SVV) atstovai); fiziniai asmenys</t>
  </si>
  <si>
    <t xml:space="preserve">1.1. Potencialių pareiškėjų (privačių įmonių), kuriuos tenkina turima informacija, dalis. 
</t>
  </si>
  <si>
    <t xml:space="preserve">Proc. 
</t>
  </si>
  <si>
    <t xml:space="preserve">71,1, iš kurių visiškai pakanka 9 (2015 m. lapkritis)
</t>
  </si>
  <si>
    <t xml:space="preserve">76, iš kurių visiškai pakanka 14 (2022 m.)
</t>
  </si>
  <si>
    <t>64,1 (2016 m. rugsėjis)</t>
  </si>
  <si>
    <t>58, iš jų visiškai sutinka - 20 (2017 m. lapkritis)</t>
  </si>
  <si>
    <t>55, iš jų visiškai sutinka - 19 (2018 m. lapkritis)</t>
  </si>
  <si>
    <t>46, iš jų visiškai sutinka - 15 (2019 m. spalis)</t>
  </si>
  <si>
    <t xml:space="preserve">50, iš jų visiškai pakanka – 15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</si>
  <si>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56, iš jų visiškai pakanka 19 (2022 sausis)</t>
  </si>
  <si>
    <t>58, iš jų visiškai pakanka 20 (2023 sausis)</t>
  </si>
  <si>
    <t>2022 m. IV ketv.</t>
  </si>
  <si>
    <t>MITA</t>
  </si>
  <si>
    <t>14. Pareiškėjų informavimas</t>
  </si>
  <si>
    <t>1. Aiškiai pateikti potencialiems pareiškėjams ir projektų vykdytojams informaciją.</t>
  </si>
  <si>
    <t>Pareiškėjai – SVV</t>
  </si>
  <si>
    <t xml:space="preserve">1.1. Potencialių pareiškėjų (privačių įmonių), kuriuos tenkina turima informacija, dalis.
</t>
  </si>
  <si>
    <t xml:space="preserve">Proc. 
</t>
  </si>
  <si>
    <t xml:space="preserve">71,1, iš kurių visiškai pakanka informacijos 9 (2015 m. lapkritis)
</t>
  </si>
  <si>
    <t xml:space="preserve">81 (2023 m.)
</t>
  </si>
  <si>
    <t xml:space="preserve">50, iš jų visiškai pakanka – 15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</si>
  <si>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Lėšos nebvuo panaudotos dėl vykdytos restruktūrizacijos (dalis MITA funkcijų perduota Inovacijų agentūrai, o vėliau MITA sujungta su LMT)</t>
  </si>
  <si>
    <t xml:space="preserve">1.2. Projektų vykdytojų, kuriems pakanka informacijos, kaip tinkamai įgyvendinti projektą, dalis. </t>
  </si>
  <si>
    <t>94 (2023 m.)</t>
  </si>
  <si>
    <t>86, iš jų pilnai pakanka 17 (2017 m. lapkritis)</t>
  </si>
  <si>
    <t>86, iš jų pilnai pakanka 19 (2018 m. lapkritis)</t>
  </si>
  <si>
    <t>78, iš jų pilnai pakanka 26 (2019 m. spalis)</t>
  </si>
  <si>
    <t>58, iš jų pilnai pakanka 23 (2021 m. kovas) (tik MITA)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</si>
  <si>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88, iš jų pilnai pakanka 27 (2022 sausis) (tik MITA)</t>
  </si>
  <si>
    <t>90, iš jų pilnai pakanka 24 (2023 sausis) (tik MITA)</t>
  </si>
  <si>
    <t>VIPA</t>
  </si>
  <si>
    <t>15. Grąžinamosios subsidijos pareiškėjų ir projektų vykdytojų informavimas</t>
  </si>
  <si>
    <t xml:space="preserve">1. Aiškiai pateikti potencialiems pareiškėjams informaciją.
2. Aiškiai pateikti projektų vykdytojams informaciją.
</t>
  </si>
  <si>
    <t>Viešųjų projektų teikėjai (universitetai, valstybės pastatų valdytojai, gatvių apšvietimo įmonės); konsultavimo įmonės</t>
  </si>
  <si>
    <t xml:space="preserve">1.1. Potencialių pareiškėjų, kuriuos tenkina turima informacija, dalis
</t>
  </si>
  <si>
    <t xml:space="preserve">Proc.
</t>
  </si>
  <si>
    <t xml:space="preserve">88 iš kurių visiškai sutinka 26 (2015 m. gruodis)
</t>
  </si>
  <si>
    <t xml:space="preserve">88, iš kurių visiškai sutinka 31 (2022 m.)
</t>
  </si>
  <si>
    <t>76, iš jų visiškai sutinka 24 (2017 m. lapkritis)</t>
  </si>
  <si>
    <t>77, iš jų visiškai sutinka 25 (2018 m. lapkritis)</t>
  </si>
  <si>
    <t>82, iš jų visiškai sutinka 26 (2019 m. spalis)</t>
  </si>
  <si>
    <t xml:space="preserve">77, iš jų visiškai pakanka 18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</si>
  <si>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2.1. Projektų vykdytojų, kuriems pakanka informacijos apie tai, kaip tinkamai įgyvendinti projektą, dalis.</t>
  </si>
  <si>
    <t>75 (2019 m. rugsėjis)</t>
  </si>
  <si>
    <t>85 (2022 m. I ketv.)</t>
  </si>
  <si>
    <t>33 (2019 m. spalis)</t>
  </si>
  <si>
    <t>68 (2021 m. kovas)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</si>
  <si>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79 (2022 sausis) (tik VIPA)</t>
  </si>
  <si>
    <t>89 (2023 sausis) (tik VIPA)</t>
  </si>
  <si>
    <t>SAM</t>
  </si>
  <si>
    <t>16. Informavimas apie 2014–2020 m. ES investicijas sveikatos apsaugos sektoriuje</t>
  </si>
  <si>
    <t>1. Aiškiai pateikti pareiškėjams informaciją.</t>
  </si>
  <si>
    <t>Potencialūs pareiškėjai</t>
  </si>
  <si>
    <t xml:space="preserve">1.1. Potencialių pareiškėjų, kuriuos tenkina turima informacija, dalis. </t>
  </si>
  <si>
    <t>88 iš kurių visiškai sutinka 39 (2015 m. lapkritis)</t>
  </si>
  <si>
    <t>88, iš kurių visiškai sutinka 44 (2023 m.)</t>
  </si>
  <si>
    <t>77, iš kurių informacijos visiškai pakanka - 23 (2017 m. lapkritis)</t>
  </si>
  <si>
    <r>
      <t>77, iš jų visiškai sutinka</t>
    </r>
    <r>
      <rPr>
        <b/>
        <sz val="12"/>
        <color theme="1"/>
        <rFont val="Times New Roman"/>
        <family val="1"/>
        <charset val="186"/>
      </rPr>
      <t xml:space="preserve"> 26</t>
    </r>
    <r>
      <rPr>
        <sz val="12"/>
        <color theme="1"/>
        <rFont val="Times New Roman"/>
        <family val="1"/>
        <charset val="186"/>
      </rPr>
      <t xml:space="preserve"> (2018 m. lapkritis)</t>
    </r>
  </si>
  <si>
    <r>
      <t>82, iš jų visiškai sutinka</t>
    </r>
    <r>
      <rPr>
        <b/>
        <sz val="12"/>
        <color theme="1"/>
        <rFont val="Times New Roman"/>
        <family val="1"/>
        <charset val="186"/>
      </rPr>
      <t xml:space="preserve"> 26</t>
    </r>
    <r>
      <rPr>
        <sz val="12"/>
        <color theme="1"/>
        <rFont val="Times New Roman"/>
        <family val="1"/>
        <charset val="186"/>
      </rPr>
      <t xml:space="preserve"> (2019 m. spalis)</t>
    </r>
  </si>
  <si>
    <t>Pagrindinės veiklos buvo įgyvendintos</t>
  </si>
  <si>
    <t>NVO, asociacijos, prekybos, pramonės ir amatų rūmai, „Europe Direct“ informacijos centrus priimančios institucijos</t>
  </si>
  <si>
    <t>17. Komunikacija apie ES investicijas (visuotinė dotacija)</t>
  </si>
  <si>
    <t>1. Skatinti gyventojus domėtis ES investicijomis skatinamais socialiniais ir ekonominiais pokyčiais, iš ES struktūrinių fondų lėšų bendrai finansuojamų projektų įgyvendinimu, jų rezultatais ir teikiama nauda regionui bei šaliai, taip pat sudaryti prielaidas didesniam pasitikėjimui ES struktūrinių fondų administravimo sistemos efektyvumu ir skaidrumu, skatinti gyventojus jaustis aktyvios Europos bendruomenės dalimi.</t>
  </si>
  <si>
    <t>1.1. Gyventojų, teigiančių, kad ES investicijos padeda siekti teigiamų socialinių ir ekonominių pokyčių šalyje ir prisideda prie gyventojų gyvenimo kokybės gerinimo, dalis. (VP rodiklio siektina reikšmė - 60 2023 m.).</t>
  </si>
  <si>
    <t>50 (2008)</t>
  </si>
  <si>
    <t>60 (2023 m.)</t>
  </si>
  <si>
    <t>83 (2016 m. spalis)</t>
  </si>
  <si>
    <t>69 (2017 m. lapkritis)</t>
  </si>
  <si>
    <t>72 (2018 m. lapkritis)</t>
  </si>
  <si>
    <t>77 (2019 spalis)</t>
  </si>
  <si>
    <t>75 (2022 sausis)</t>
  </si>
  <si>
    <t>Po 12.0.1CPVA K 204 02 kvietimo pasirašytos 22 sutartys dėl projektų įgyvendinimo. Kadangi 2 sutartys buvo nutrauktos, įgyvendinta 19 projektų (6 projektai 2021 m. ir 13 projektų 2022 m.), dar 1 projektas įgyvendinamas ( projekto veiklų įgyvendinimo pabaiga 2023-01-31)</t>
  </si>
  <si>
    <t>1.2. Įgyvendintų informavimo ir komunikacijos projektų skaičius. (P.N.202)</t>
  </si>
  <si>
    <t>0 (2017 m.) 23 (2020 m.)</t>
  </si>
  <si>
    <t>50 (2023 m.)</t>
  </si>
  <si>
    <t>23 (2019 lapkritis)</t>
  </si>
  <si>
    <t>23 (2021 m. balandis)</t>
  </si>
  <si>
    <t>29 (2022 sausis)</t>
  </si>
  <si>
    <t>EIM</t>
  </si>
  <si>
    <t>18. Inovatyvi Lietuva</t>
  </si>
  <si>
    <t>1. Skatinti gyventojus domėtis įgyvendinamais projektais, jų teikiama nauda regionui/šaliai.</t>
  </si>
  <si>
    <t>1.1. Dalis gyventojų, kurie asmeniškai pajuto ES investicijų naudą.</t>
  </si>
  <si>
    <t>74, iš kurių tikrai pajuto 26 (2015 m. lapkritis)</t>
  </si>
  <si>
    <t>77 (2023 m.)</t>
  </si>
  <si>
    <t>Komunikacijos kampanijos veiklos nebuvo pradėtos vyksdyti dėl užsitęsusio viešojo pirkimo (buvo gauta pretenzija, kuri buvo tenkinta ir dėl to pirkimas buvo paskelbtas iš naujo). Kampanijos veiklos persikelia į 2023 m.</t>
  </si>
  <si>
    <t>19. ES investicijos – moderniam, patogiam, saugiam susisiekimui</t>
  </si>
  <si>
    <t>1. Parodyti ES investicijų Lietuvos susisiekimo sektoriuje mastą, informuoti apie ES investicijomis finansuotus šio sektoriaus projektus ir jų naudą kiekvienam šalies gyventojui, verslui, šalies ekonomikai; parodyti ES investicinių projektų tęstinumą: atliktus darbus susieti su 2021–2027 m. finansinio laikotarpio perspektyva ir Lietuvos susisiekimo sektoriuje įgyvendinamais strateginiais projektais. 2. Skatinti šalies visuomenę naudotis sukurtomis darnaus judumo galimybėmis</t>
  </si>
  <si>
    <t xml:space="preserve">Buvo suorganizuotas transporto forumas, taip pat pradėtas pirkimas už 300 000 Eur. Buvo planuota, kad pirkimo sutartis bus pasirašyta spalio mėn. ir bus pradėtos vykdyti veiklos, tačiau pirkimas 2022 m. užbaigtas nebuvo ir persikėlė į 2023 m. sausio mėn. </t>
  </si>
  <si>
    <t xml:space="preserve">PAŽANGI LIETUVA </t>
  </si>
  <si>
    <t>1. Pažangi įmonė – MTEP taikanti įmonė (konkurencingu-mas, grįstas MTEP)</t>
  </si>
  <si>
    <t>1. Pažangi įmonė</t>
  </si>
  <si>
    <t xml:space="preserve">1. Formuoti inovacijų ir MTEPI sampratą ir skatinti poreikį juos diegti. 
2. Pristatyti įmonių bendradarbiavimą su Lietuvos mokslo įstaigomis kaip įmonėms naudingą, kuriantį pridėtinę vertę.
</t>
  </si>
  <si>
    <t xml:space="preserve">Lietuvos sumanios specializacijos strategiją atitinkančios įmonės, nevykdančios MTEPI veiklos; Lietuvos sumanios specializacijos strategiją atitinkančios įmonės, nesistemiškai vykdančios MTEPI veiklą 
</t>
  </si>
  <si>
    <t xml:space="preserve">1.1. Įmonių, kurios investicijas į inovacijas vertina kaip svarbų konkurencinį pranašumą, dalis. (Rodiklis pasiektas 94 proc. 2019 m.)
</t>
  </si>
  <si>
    <t xml:space="preserve">Proc. 
</t>
  </si>
  <si>
    <t xml:space="preserve">89 (2015 m. gruodis)
</t>
  </si>
  <si>
    <t xml:space="preserve">95 (2021 m.)
</t>
  </si>
  <si>
    <t>94 (iš jų, 45 visiškai sutinka) 2019 m. lapkritis</t>
  </si>
  <si>
    <t>91, iš jų visiškai sutinka – 48 (2020 m. lapkritis)</t>
  </si>
  <si>
    <t>92, iš jų visiškai sutinka – 45 (2021 m. spalis)</t>
  </si>
  <si>
    <t>93, iš jų visiškai sutinka - 43 (2022 m. rugsėjis)</t>
  </si>
  <si>
    <t>Nevertinta</t>
  </si>
  <si>
    <t>1
Krypties detalizavimo lentelėje nurodyta, kad rodiklis pasiektas 2019 m. ir toliau siekiamas nebus</t>
  </si>
  <si>
    <t>Planuotos pagrindinės kampanijos veiklos įvykdytos</t>
  </si>
  <si>
    <t>2.1. Įmonių vadovų, kurie teigiamai vertina savo įmonės bendradarbiavimą su mokslo ir studijų institucijomis, dalis.  (Rodiklis pasiektas 2018 m.51 proc.)</t>
  </si>
  <si>
    <t>30 (2015 m. gruodis)</t>
  </si>
  <si>
    <t>45 (2021 m.)</t>
  </si>
  <si>
    <t>36 (įmonių vadovai); 92 (darbuotojai)</t>
  </si>
  <si>
    <t>39 (įmonių vadovai); 94 (darbuotojai)</t>
  </si>
  <si>
    <t>51 (įmonių vadovai), 89 (darbuotojai)</t>
  </si>
  <si>
    <t>50 (įmonių vadovai); 93 (darbuotojai)</t>
  </si>
  <si>
    <t>54 (2020 m. lapkritis)</t>
  </si>
  <si>
    <t>60 (2021 m. spalis)</t>
  </si>
  <si>
    <t>58 (2022 m. rugsėjis)</t>
  </si>
  <si>
    <t>1
Krypties detalizavimo lentelėje nurodyta, kad rodiklis pasiektas 2018 m. ir toliau siekiamas nebus</t>
  </si>
  <si>
    <t>2.2. Įmonių vadovų, manančių, kad bendradarbiavimas su mokslo ir studijų institucijomis yra naudingas, kuria pridėtinę vertę įmonei, padeda įmonėms išlikti konkurencingoms, dalis.</t>
  </si>
  <si>
    <t>68 (2016 m.)</t>
  </si>
  <si>
    <t>79 (2021 m. spalis)</t>
  </si>
  <si>
    <t>81 (2022 m. rugsėjis)</t>
  </si>
  <si>
    <t>2. Konkuruok su MTEPI</t>
  </si>
  <si>
    <t>1. Formuoti MTEPI sampratą ir skatinti poreikį tai diegti – paaiškinti, kas yra MTEPI ir kuo ji naudinga verslui.
2. Pristatyti įmonių bendradarbiavimą su Lietuvos mokslo įstaigomis kaip prestižo dalyką.</t>
  </si>
  <si>
    <t>Tradicinės pramonės įmonės, nevykdančios MTEPI veiklos;  įmonės, nesistemiškai vykdančios MTEPI veiklą.</t>
  </si>
  <si>
    <t xml:space="preserve"> 1.1. Įmonių, kurios investicijas į inovacijas ir MTEPI vertina kaip svarbų konkurencinį pranašumą, dalis.
</t>
  </si>
  <si>
    <t xml:space="preserve">89 (2015 m.)
</t>
  </si>
  <si>
    <t>96 (2023 m.)</t>
  </si>
  <si>
    <t>94 (iš jų, 45 visiškai sutinka)</t>
  </si>
  <si>
    <t>Lėšų, skirtų KK įgyvendinimui, nepanaudojimo priežastys: Įgyvendinus reorganizacinius pokyčius įstaigoje, keitėsi komunikacijos strategija bei komunikacijos paslaugų pirkimų poreikis. Dalis pirkimų įvykdyti mažesne verte nei buvo planuota prieš reorganizaciją. Įsigijus reikiamą įrangą renginių transliavimui tiesiogiai internetu, mokymai/ renginiai/ seminarai pareiškėjams bei projektų vykdytojams transliuojami internetu, atsisakant išorės tiekėjų paslaugų. Sutaupytos renginių transliavimo bei  renginių organizavimo išlaidoms (patalpų ir įrangos nuomos, kavos pertraukėlių ir pan.) skirtos lėšos.</t>
  </si>
  <si>
    <t>2.1. Įmonių vadovų ir (ar) darbuotojų, kurie teigiamai žiūri į bendradarbiavimą su mokslo ir studijų institucijomis, dalis. (Rodiklis pasiektas 2018 m. - 51 proc.)</t>
  </si>
  <si>
    <t>28 (2015 m. gruodis)</t>
  </si>
  <si>
    <t>50 (įmonių vadovai)</t>
  </si>
  <si>
    <t>54 (įmonių vadovai) (2020 m. lapkritis)</t>
  </si>
  <si>
    <t>3. Inovacijų Lietuva: ar žinai, ką kuriame?</t>
  </si>
  <si>
    <t>1. Plėtoti Lietuvos kaip inovatyvios šalies suvokimą 2. Skatinti suvokimą, kad MTEPI idėja gali tapti verslu</t>
  </si>
  <si>
    <t>Pradedančios jaunos, sparčiai augančios, į MTEP veiklą orientuotos įmonės (startup‘ai, spinof‘ai), Visuomenė</t>
  </si>
  <si>
    <t>1.1. Dalis gyventojų, kurie Lietuvą suvokia, kaip inovacijų šalį.</t>
  </si>
  <si>
    <t>72 proc. gyventojų sutinka, kad Lietuva – inovacijų šalis (17 proc. visiškai tam pritaria) 2019 m.</t>
  </si>
  <si>
    <t>85 proc. – pritaria (30 proc. – visiškai tam pritaria) 2023 m.</t>
  </si>
  <si>
    <t>63, iš jų visiškai sutinka 11 (2022 sausis)</t>
  </si>
  <si>
    <t>67, iš jų visiškai sutinka 10 (2023 sausis)</t>
  </si>
  <si>
    <t>2.1. Įmonių, kurios su MITA pagalba pradėjo vykdyti naujas MTEPI veiklas, skaičius</t>
  </si>
  <si>
    <t>30 (2018 m.)</t>
  </si>
  <si>
    <t>130 (2023 m.)</t>
  </si>
  <si>
    <t>269 (2021 m. MITA duomenys)</t>
  </si>
  <si>
    <t>Po reorganizacijos rodiklis nematuotas</t>
  </si>
  <si>
    <t>1 
rodiklis pasiektas 2021 m.</t>
  </si>
  <si>
    <t>2. Pažangus švietimas</t>
  </si>
  <si>
    <t xml:space="preserve">1. Pažangus švietimas – gamtos ir technologijos mokslų (STEAM) populiarinimas
</t>
  </si>
  <si>
    <t xml:space="preserve">1. Populiarinti gamtos ir technologijų tyrėjo profesiją.
2. Populiarinti STEAM mokslų kryptis.
3. Skatinti STEAM mokslo mokytojus gilinti bei plėsti kompetencijas.
4. Skatinti mokyklas populiarinti STEAM mokslų kryptis.
5. Keisti nepatrauklaus „tiksliuko“-mokslininko įvaizdžio stereotipą.
6. Skatinti rinktis tyrėjo karjerą.
</t>
  </si>
  <si>
    <t>Mokiniai, mokinių tėvai, mokytojai, studentai, mokyklų administracija</t>
  </si>
  <si>
    <t xml:space="preserve">1.1. Tėvų, kuriems tyrėjo profesija yra patraukli, dalis.
</t>
  </si>
  <si>
    <t xml:space="preserve">Proc.
</t>
  </si>
  <si>
    <t xml:space="preserve">78, iš jų 34 proc. skatintų rinktis tyrėjo profesiją (2016 m. I ketv.)
</t>
  </si>
  <si>
    <t xml:space="preserve">78, iš jų 40 proc. skatintų rinktis tyrėjo profesiją (2023 m. )
</t>
  </si>
  <si>
    <t>Tyrimas bus atliekamas 2021 m. gegužę (tėvų apklausa, atlieka ŠMSM)</t>
  </si>
  <si>
    <t>68, 62 proc. skatintų rinktis tyrėjo profesiją (2021 m. gegužė)</t>
  </si>
  <si>
    <t>65, 63 proc. skatintų rinktis tyrėjo profesiją (2022 m. rugsėjis- lapkritis)</t>
  </si>
  <si>
    <t>Keturių 2022 m. sudarytų sutarčių apmokėjimas nusikėlė į 2023 m. Planuotas vaizdo klipas buvo sukurtas tik grudžio pabaigoje, jo transliavimas susikėlė į 2023 m.</t>
  </si>
  <si>
    <t>2.1. Tėvų, kuriems STEAM atrodo patrauklu ir perspektyvu, dalis.</t>
  </si>
  <si>
    <t>94, iš jų 36 proc. atrodo labai perspektyvu (2016 m. I ketv.)</t>
  </si>
  <si>
    <t>94, iš jų 42 proc. atrodo labai perspektyvu (2023 m.)</t>
  </si>
  <si>
    <t>80,0 proc. (17,1 proc. labai perspektyvu), 2019 III ketv.</t>
  </si>
  <si>
    <t>70, iš jų 29 proc. labai perspektyvu; 72, iš jų 30 proc. labai patrauklu (2021 m. gegeužė)</t>
  </si>
  <si>
    <t>3.1. Dalis mokytojų, kuriems STEAM atrodo patrauklu ir perspektyvu.</t>
  </si>
  <si>
    <t>87, iš jų 16 proc. labai perspektyvu (2017 m. gruodis)</t>
  </si>
  <si>
    <t>87, iš jų 25 proc. labai perspektyvu (2023 m.)</t>
  </si>
  <si>
    <t>89,1 proc. (17,8 proc. labai perspektyvu), 2019 III ketv.</t>
  </si>
  <si>
    <t>Tyrimas bus atliekamas 2021 m. gegužę (mokytojų apklausa, atlieka ŠMSM)</t>
  </si>
  <si>
    <t>71, iš jų 32 visiškai sutinka, kad perspektyvu;  72, iš jų 32 visiškai sutinka, kad patrauklu (2021 m. gegužė)</t>
  </si>
  <si>
    <t>4.1 Mokyklų vadovų, kuriems STEAM atrodo patrauklu ir perspektyvu, dalis.</t>
  </si>
  <si>
    <t>97, iš jų 46 proc. atrodo labai perspektyvu (2017 m. gruodis)</t>
  </si>
  <si>
    <t>97, iš jų 51 proc. atrodo labai perspektyvu (2023 m.)</t>
  </si>
  <si>
    <t>94,8 proc. (29,7 proc. labai perspektyvu), 2019 III ketv.</t>
  </si>
  <si>
    <t>Tyrimas bus atliekamas 2021 m. gegužę (mokyklų vadovų apklausa, atlieka ŠMSM)</t>
  </si>
  <si>
    <t>91, iš jų visiškai sutinka, kad perspektyvu; 92, iš jų visiškai sutinka, kad patrauklu (2021 m. gegužė)</t>
  </si>
  <si>
    <t>5.1 Dalis mokyklų, pasirašiusios bendradarbiavimo sutartis su socialiniais partneriais dėl STEAM įgyvendinimo</t>
  </si>
  <si>
    <t>14 (2017 m. gruodis)</t>
  </si>
  <si>
    <t>40 (2023 m.)</t>
  </si>
  <si>
    <t>31,3 proc., 2019 III ketv.</t>
  </si>
  <si>
    <t>21 proc. (2021 m. gegužė)</t>
  </si>
  <si>
    <t>32 (2022 rugsėjis -lapkritis)</t>
  </si>
  <si>
    <t>6.1. Mokinių, kuriems STEAM atrodo patrauklu ir perspektyvu, dalis.</t>
  </si>
  <si>
    <t>93, iš jų 34 proc., kuriems atrodo labai perspektyvu (2016 m. I ketv.)</t>
  </si>
  <si>
    <t>93, iš jų 40 proc., kuriems atrodo labai perspektyvu (2023 m.)</t>
  </si>
  <si>
    <t>78,3 proc. (18,4 proc. labai perspektyvu), 2019 III ketv.</t>
  </si>
  <si>
    <t>Tyrimas bus atliekamas 2021 m. gegužę (mokinių apklausa atlieka ŠMSM)</t>
  </si>
  <si>
    <t>60, iš jų 20 proc. sutinka, kad visiškai perspektyvu; 57, iš jų 20 proc. sutinka, kad visiškai patrauklu (2021 m. gegužė)</t>
  </si>
  <si>
    <t xml:space="preserve">7.1. Studentų, kuriems tyrėjo profesija atrodo patraukli, dalis. </t>
  </si>
  <si>
    <t>37 (2017 m.)</t>
  </si>
  <si>
    <t>37 (2017 m. lapkritis)</t>
  </si>
  <si>
    <t>48 (2018 m. lapkritis)</t>
  </si>
  <si>
    <t>53 (2019 m. lapkritis)</t>
  </si>
  <si>
    <t>57 (2020 m. lapkritis)</t>
  </si>
  <si>
    <t>61 (2021 m. lapkritis)</t>
  </si>
  <si>
    <t>59 (2022 lapkritis)</t>
  </si>
  <si>
    <t>LMT</t>
  </si>
  <si>
    <t>2. Pažangus švietimas - technologinė kryptis (gamtos ir technologijų (STEAM) mokslų populiarinimas).</t>
  </si>
  <si>
    <t>1. Skatinti rinktis tyrėjo karjerą.</t>
  </si>
  <si>
    <t>Studentai, magistrai, doktorantai</t>
  </si>
  <si>
    <t>1.1. Studentų, kuriems tyrėjo profesija atrodo patraukli, dalis.</t>
  </si>
  <si>
    <t>Viešieji pirkimai įvykdyti planuota apimtimi, tačiau paslaugos įsigytos gerokai pigiau nei buvo numatyta skirti lėšų.</t>
  </si>
  <si>
    <t>3. Pažangus švietimas - technologinė kryptis (gamtos ir technologijų mokslų (STEAM) populiarinimas).</t>
  </si>
  <si>
    <t>2. STEAM populiarinimas</t>
  </si>
  <si>
    <t>2. Skatinti įstaigas populiarinti STEAM kryptis, bendradarbiauti su verslu ir tarpusavyje</t>
  </si>
  <si>
    <t>Švietimo įstaigų, mokslo ir studijų institucijų darbuotojai; visuomenė</t>
  </si>
  <si>
    <t>1.2. Mokyklų vadovų, kuriems STEAM atrodo patrauklu ir perspektyvu, dalis.</t>
  </si>
  <si>
    <t>92 , iš jų 59 labai perspektyvu (2021 m. II ketv.)</t>
  </si>
  <si>
    <t>3 proc. nuo pradinės reikšmės (2023 m.)</t>
  </si>
  <si>
    <t>97, iš jų 62 visiškai sutinka, kad perspektyvu (2022 rugsėjis- lapkritis)</t>
  </si>
  <si>
    <t>Visos planuotos veiklos įvykdytos laiku, numatyti rodikliai pasiekti. Sutaupymai atsirado, nes viešojo pirkimo metu paslauga buvo nusipirkta pigiau.</t>
  </si>
  <si>
    <t>1.3. Dalis mokyklų, kurios siūlo technologijų, inžinerijos, gamtos mokslų būrelius</t>
  </si>
  <si>
    <t>52 (2021 II ketv.)</t>
  </si>
  <si>
    <r>
      <t xml:space="preserve">48 proc. daugiau nei 1 būrelis; 21 proc. 1 būrelis - </t>
    </r>
    <r>
      <rPr>
        <b/>
        <sz val="12"/>
        <color theme="1"/>
        <rFont val="Times New Roman"/>
        <family val="1"/>
      </rPr>
      <t>iš viso 69 proc.</t>
    </r>
    <r>
      <rPr>
        <sz val="12"/>
        <color theme="1"/>
        <rFont val="Times New Roman"/>
        <family val="1"/>
        <charset val="186"/>
      </rPr>
      <t xml:space="preserve"> bent 1 būrelis (2022 rugsėjis - lapkritis)</t>
    </r>
  </si>
  <si>
    <t>1 (vertinimas su išlyga, nes skiriasi atsakymo į klausimą formuluotės)</t>
  </si>
  <si>
    <t>4. Pažangus mokslas – komerciškas mokslas</t>
  </si>
  <si>
    <t>3. Pažangus mokslas – komercializuotas mokslas</t>
  </si>
  <si>
    <t>1.Skatinti mokslo ir studijų institucijų bendradarbiavimą su verslo įmonėmis.
2. Skatinti mokslo komercializavimo suvokimą kaip mokslo institucijos ar universiteto prestižo ir pajamų šaltinį.
3. Kelti tyrėjo,  dirbančio mokslo komercializavimo projektuose, prestižą.
4. Skatinti tyrėjų bendradarbiavimą su verslo įmonėmis</t>
  </si>
  <si>
    <t>Mokslo ir studijų institucijų sprendimų priėmėjai, tyrėjai</t>
  </si>
  <si>
    <t>1.1. E. mokslo vartų portalo lankomumas.</t>
  </si>
  <si>
    <t>1000 unikalių vartotojų per metus (2015 m.)</t>
  </si>
  <si>
    <t>8000 unikalių vartotojų per metus (2023 m.)</t>
  </si>
  <si>
    <t>4800 (2017 m. sausis - lapkritis)</t>
  </si>
  <si>
    <t>7 816 (2018.10.01–2019.10.01)</t>
  </si>
  <si>
    <t>8 524
Rodiklio reikšmė pasiekta, toliau siekiama nebus</t>
  </si>
  <si>
    <t>Matuoja MITA, tačiau krypties detalizavimo lentelėje nurodyta, kad rodiklis pasiektas 2020 m. ir toliau nebesiekiamas</t>
  </si>
  <si>
    <t>1
Krypties detalizavimo lentelėje nurodyta, kad rodiklis pasiektas 2020 m. ir toliau nebesiekiamas</t>
  </si>
  <si>
    <t>Vienas pirkimas nusikėlė į 2023 m.</t>
  </si>
  <si>
    <t>2.1. Institucijų vadovų, kurie vertina komercializuotus projektus kaip institucijos prestižo ir pajamų šaltinį, dalis. (Rodiklis pasiektas - 94 proc. (2019 m. tyrimas), svarbūs prestižui, 76 proc. svarbus pajamų šaltinis.</t>
  </si>
  <si>
    <t xml:space="preserve">88 proc. vadovų mano, kad bendri mokslo ir verslo projektai yra svarbūs jų institucijos prestižui, 56 proc. – kad svarbus pajamų šaltinis 
</t>
  </si>
  <si>
    <t>88 proc. vadovų mano, kad bendri mokslo ir verslo projektai yra svarbūs jų institucijos prestižui, 61 proc. – kad svarbus pajamų šaltinis  (2020 m.)</t>
  </si>
  <si>
    <t>Tyrimas vyks 2020 m. rudenį</t>
  </si>
  <si>
    <t>Tyrimas bus atliekamas 2021 m. gegužę (mokslo ir studijų institucijų vadovų apklausa, atlieka ŠMSM)</t>
  </si>
  <si>
    <t>Krypties detalizavimo lentelėje nurodyta, kad rodiklis pasiektas 2019 m. ( 94 proc., svarbūs prestižui, 76 proc. svarbus pajamų šaltinis.) ir toliau nebesiekiamas</t>
  </si>
  <si>
    <t>Paraiškoje rodiklio nėra</t>
  </si>
  <si>
    <t>1
Krypties detalizavimo lentelėje nurodyta, kad rodiklis pasiektas 2019 m. ir toliau nebesiekiamas</t>
  </si>
  <si>
    <t>3.1. Mokslininkų, kurie suvokia komercializuotus projektus ne tik kaip institucijos, bet ir kaip savo prestižo ir  pajamų šaltinį, dalis.</t>
  </si>
  <si>
    <t>71 proc. tyrėjų mano, kad bendri mokslo ir verslo projektai yra svarbūs jų prestižui, 65 proc. – kad svarbus pajamų šaltinis iš jų 30 proc. labai svarbus (2016 m.)</t>
  </si>
  <si>
    <t>71 proc. tyrėjų mano, kad bendri mokslo ir verslo projektai yra svarbūs jų prestižui, 70 proc. – kad svarbus pajamų šaltinis iš jų 35 proc. labai svarbus (2023 m.)</t>
  </si>
  <si>
    <t>Tyrimas bus atliekamas 2021 m. gegužę ( mokslininkų apklausa, atlieka ŠMSM)</t>
  </si>
  <si>
    <t>68 proc. tyrėjų mano, kad bendri mokslo ir verslo projektai yra svarbūs jų prestižui; 53 proc., kad svarbus pajamų šaltinis, iš jų 18 proc. labai svarbus (2021 m. gegužė)</t>
  </si>
  <si>
    <t>70 proc. tyrėjų mano, kad bendri mokslo ir verslo projektai yra svarbūs jų prestižui; 57 proc., kad svarbus pajamų šaltinis, iš jų 22 proc. labai svarbus (2021 rugsėjis - lapkritis)</t>
  </si>
  <si>
    <t>VERSLI LIETUVA</t>
  </si>
  <si>
    <t>1. Verslo augimo galimybių paieškos ir išnaudojimo skatinimas</t>
  </si>
  <si>
    <t>1. Kurkime verslią Lietuvą</t>
  </si>
  <si>
    <t xml:space="preserve">1. Skatinti MVĮ suprasti ir vertinti savo galimybes prekiauti su užsieniu.
</t>
  </si>
  <si>
    <t>MVĮ (ypač regioninės)</t>
  </si>
  <si>
    <t xml:space="preserve">1.1. MVĮ žinančių/girdėjusių apie Ekonomikos ir inovacijų ministerijos administruojamas ES investicijų priemones.
</t>
  </si>
  <si>
    <t xml:space="preserve">Proc.
</t>
  </si>
  <si>
    <t xml:space="preserve">58 (2017 m.)
</t>
  </si>
  <si>
    <t xml:space="preserve">63 (2023 m.)
</t>
  </si>
  <si>
    <t>61 (2022 m. rugsėjis)</t>
  </si>
  <si>
    <t>2. Kodėl turėčiau eksportuoti</t>
  </si>
  <si>
    <t>1. Formuoti suvokimą, kad lietuviškas SVV kuriamas produktas gali būti įdomus užsienio rinkose.</t>
  </si>
  <si>
    <t xml:space="preserve">Labai mažos, mažos ir vidutinės įmonės; ypač veikiančios regionuose.
</t>
  </si>
  <si>
    <t xml:space="preserve">1.1. Labai mažų, mažų ir vidutinių įmonių vadovų, kurie galvodami apie verslo plėtrą, tarp kitų alternatyvų svarsto savo verslo plėtrą į užsienio rinkas, dalis.
</t>
  </si>
  <si>
    <t>48 (2015 m. gruodis)</t>
  </si>
  <si>
    <t>36 (iš jų, 11 visiškai sutinka)</t>
  </si>
  <si>
    <t>43 (2020 m. lapkritis)</t>
  </si>
  <si>
    <t>53 (2021 m. spalis)</t>
  </si>
  <si>
    <t>46 (2022 m. rugsėjis)</t>
  </si>
  <si>
    <t>2. Savarankiški ir verslūs gyventojai („pats sau darbdavys“ skatinimas)</t>
  </si>
  <si>
    <t>1. Duokit šansą! Pradėk dirbti sau. Verslumo skatinimas</t>
  </si>
  <si>
    <t xml:space="preserve">1. Skatinti suvokimą, kad kiekvienas gali tapti verslininku bet kuriame gyvenimo etape.
2. Šviesti, mokyti, ugdyti ir informuoti apie priemones, konsultacijas verslo įkūrimo pradžiai.
3. Gerinti verslininko įvaizdį, verslo reputaciją.
4. Formuoti įvaizdį, kad pradėti verslą dabar - pats tinkamiausias laikas.
</t>
  </si>
  <si>
    <t>Gyventojai, potencialūs SVV atstovai (ypač jaunimas, moterys ir pažeidžiamos grupės)</t>
  </si>
  <si>
    <t xml:space="preserve">2.1. Besikreipiančiųjų ir žinančiųjų apie verslo konsultacijas, pasinaudojusiųjų jomis didėjimas. (Rodiklis pasiektas 2019 m. - 45 proc.)
</t>
  </si>
  <si>
    <t xml:space="preserve">26 (2016 m. III ketv.)
</t>
  </si>
  <si>
    <t>44 (2022 m.)</t>
  </si>
  <si>
    <t>31 (2017 m. birželis)</t>
  </si>
  <si>
    <t xml:space="preserve">37 (2018 m. birželis) </t>
  </si>
  <si>
    <t>44 (2019 birželis)</t>
  </si>
  <si>
    <t>51 (2020 gruodis)</t>
  </si>
  <si>
    <t>Krypties detalizavimo lentelėje nurodyta, kad rodiklis pasiektas ir nebus stebimas</t>
  </si>
  <si>
    <t>1 
Krypties detalizavimo lentelėje nurodyta, kad rodiklis pasiektas ir nebus stebimas</t>
  </si>
  <si>
    <t>3.1. Gyventojų, kurie gerbia verslininko profesiją ir (ar) verslininkystę, daugėjimas. (rodiklis pasiektas 2019 m. - 82 proc.)</t>
  </si>
  <si>
    <t>Proc.
Proc.</t>
  </si>
  <si>
    <t>72 (2015 m. gruodis)</t>
  </si>
  <si>
    <t>82 (2022 m.)</t>
  </si>
  <si>
    <t>75 (2016 m. rugsėjis)</t>
  </si>
  <si>
    <t>82 (2017 m. lapkritis)</t>
  </si>
  <si>
    <t>84 (2018 m. lapkritis)</t>
  </si>
  <si>
    <t>82 (2019 m. spalis)</t>
  </si>
  <si>
    <t>84 (2021 m. kovas)</t>
  </si>
  <si>
    <t>85 (2022 sausis)</t>
  </si>
  <si>
    <t>Nematuota, 2021 m. buvo klausimas k19.3</t>
  </si>
  <si>
    <t xml:space="preserve">1
krypties detalizavimo lentelėje nurodyta, kad rodiklis pasiektas 2018 m. </t>
  </si>
  <si>
    <t>KVALIFIKUOTA LIETUVA</t>
  </si>
  <si>
    <t>1. Mokymasis visą gyvenimą</t>
  </si>
  <si>
    <t xml:space="preserve">1. Mokymasis visą gyvenimą </t>
  </si>
  <si>
    <t xml:space="preserve">1. Įdiegti mokymosi visą gyvenimą standartą.
2. Keisti gyventojų supratimą apie mokymąsi visą gyvenimą.
3. Motyvuoti tikslines auditorijas mokytis visą gyvenimą. 
</t>
  </si>
  <si>
    <t>Visuomenė (25–64 m. amžiaus gyventojai)</t>
  </si>
  <si>
    <t xml:space="preserve">1.1. Gyventojų, sutinkančių, kad turi nuolatos mokytis ar kitais būdais kelti savo kvalifikaciją, jei nori išlikti konkurencingi, dalis.
</t>
  </si>
  <si>
    <t xml:space="preserve">91 (2015 m. lapkritis), iš jų 47 proc. visiškai sutinka
</t>
  </si>
  <si>
    <t>95 proc., iš jų 66 proc. visiškai sutinka (2023 m.)</t>
  </si>
  <si>
    <t>90, iš jų 46 – visiškai sutinka (2016 m. rugsėjis)</t>
  </si>
  <si>
    <t>94, iš  jų visiškai sutinka - 59 (2017 m. lapkritis)</t>
  </si>
  <si>
    <t>95, iš  jų visiškai sutinka -63 (2018 m. lapkritis)</t>
  </si>
  <si>
    <t>96, iš  jų visiškai sutinka - 63 (2019 m. spalis)</t>
  </si>
  <si>
    <t>93, iš jų visiškai sutinka – 55 (2021 m. kovas)</t>
  </si>
  <si>
    <t>92, iš jų visiškai sutinka 52 (2022 sausis)</t>
  </si>
  <si>
    <t>88, ių jų visiškai sutinka – 44 (2023 sausis)</t>
  </si>
  <si>
    <t>Vienos 2022 m. sudarytos sutarties apmokėjimas nusikėlė į 2023 m.  Du pirkimai nusikėlė į 2023 m.</t>
  </si>
  <si>
    <t>2.1. Gyventojų, pripažįstančių, kad savišvieta yra vienas iš mokymosi visą gyvenimą būdų, dalis.</t>
  </si>
  <si>
    <t xml:space="preserve">87 (2015 m. lapkritis), iš jų 46 proc. visiškai sutinka
</t>
  </si>
  <si>
    <t>89 proc., iš jų 45 proc. – visiškai sutinka (2016 m. rugsėjis)</t>
  </si>
  <si>
    <t>92, iš jų visiškai sutinka - 57  (2017 m. lapkritis)</t>
  </si>
  <si>
    <t>95, iš  jų visiškai sutinka - 61 (2018 m. lapkritis)</t>
  </si>
  <si>
    <t>95, iš  jų visiškai sutinka - 61 (2019 m. spalis)</t>
  </si>
  <si>
    <t>92, iš jų visiškai sutinka – 55 (2021 m. kovas)</t>
  </si>
  <si>
    <t>90, ių jų visiškai sutinka – 51 (2022 sausis)</t>
  </si>
  <si>
    <t>89, ių jų visiškai sutinka – 45 (2023 sausis)</t>
  </si>
  <si>
    <t xml:space="preserve">3.1. Gyventojų, žinančių, kur kreiptis nusprendus mokytis ar kitaip kelti savo kvalifikaciją, dalis. </t>
  </si>
  <si>
    <t xml:space="preserve">71 (2015 m. lapkritis)
</t>
  </si>
  <si>
    <t>80 (2021 m. kovas)</t>
  </si>
  <si>
    <t>74 (2022 sausis)</t>
  </si>
  <si>
    <t>4.1. Dalis švietimo įstaigų vadovų, kurie teigia, kad dirbdami kartu su verslu gaus geresnę profesinio mokymo kokybę</t>
  </si>
  <si>
    <t>98 (2021 m.)</t>
  </si>
  <si>
    <t>99 (2023 m.)</t>
  </si>
  <si>
    <t>94 (2022 rugsėjis-lapkritis)</t>
  </si>
  <si>
    <t>2. Gyvenimas juk neišeina į pensiją</t>
  </si>
  <si>
    <t>1. Motyvuoti tikslinę auditoriją mokytis visą gyvenimą. 2. Keisti gyventojų supratimą apie mokymąsi visą gyvenimą (tai nėra tik formalus mokymasis).</t>
  </si>
  <si>
    <t>Visuomenės dalis - vyresni nei 50 m. asmenys</t>
  </si>
  <si>
    <t>1. Tikslinės auditorijos dalis, sutinkanti, kad turi nuolatos mokytis ar kitais būdais kelti savo kvalifikaciją, jei nori šiais laikais išlikti konkurencingas</t>
  </si>
  <si>
    <t>95 (2020 m.)</t>
  </si>
  <si>
    <t>95 (2023 m.)</t>
  </si>
  <si>
    <t>2. Tikslinės auditorijos dalis, pripažįstanti, kad savišvieta yra vienas iš mokymosi visą gyvenimą būdų</t>
  </si>
  <si>
    <t>2. Profesinės kompetencijos rinkos poreikiams</t>
  </si>
  <si>
    <t>1. Profesinės kompetencijos rinkos poreikiams</t>
  </si>
  <si>
    <t>1. Skatinti moksleivius, kad rinktųsi profesinį mokymąsi. 
2. Skatinti tėvus palaikyti vaikus, kurie renkasi profesinį mokymąsi. 
3. Kelti profesijos prestižą (profesija yra vertybė). 
4. Skatinti įmonių ir profesinių mokymo įstaigų bendradarbiavimą</t>
  </si>
  <si>
    <t>Mokiniai, mokinių tėvai, visuomenė, darbdaviai</t>
  </si>
  <si>
    <t xml:space="preserve">1.1. Mokinių, sutinkančių, kad aukštasis mokslas nėra būtinas, jei nori būti sėkmingas, dalis. </t>
  </si>
  <si>
    <t>59 (2016 m.)</t>
  </si>
  <si>
    <t>64 (2023 m.)</t>
  </si>
  <si>
    <t>63,9 proc., 2019 III ketv.</t>
  </si>
  <si>
    <t>Tyrimas bus atliekamas 2021 m. gegužę (mokinių apklausa, atlieka ŠMSM)</t>
  </si>
  <si>
    <t>79 (2021 m. gegužė)</t>
  </si>
  <si>
    <t>76 (2022 rugsėjis - lapkritis)</t>
  </si>
  <si>
    <t xml:space="preserve">1.2. Mokinių, kuriems profesinė kvalifikacija suteikia tokias pačias galimybes gyvenime, kaip ir aukštojo mokslo laipsnis, dalis. </t>
  </si>
  <si>
    <t>44 (2016 m.)</t>
  </si>
  <si>
    <t>51 proc. (2023 m.)</t>
  </si>
  <si>
    <t>51,9 proc., 2019 III ketv.</t>
  </si>
  <si>
    <t>51 (2021 m. gegužė)</t>
  </si>
  <si>
    <t>52 (2022 rugsėjis - lapkritis)</t>
  </si>
  <si>
    <t xml:space="preserve">2.1. Tėvų, sutinkančių, kad vaikas, pasirinkęs profesinį mokymą, bus sėkmingas, dalis. </t>
  </si>
  <si>
    <t>59 (2015 m.)</t>
  </si>
  <si>
    <t>62 (2021 m. gegužė)</t>
  </si>
  <si>
    <t>58 (2022 rugsėjis - lapkritis)</t>
  </si>
  <si>
    <t xml:space="preserve">2.2. Tėvų, manančių, kad profesinės mokyklos suteikia tinkamą išsilavinimą jų vaikui, dalis. </t>
  </si>
  <si>
    <t>56 (2015 m.)</t>
  </si>
  <si>
    <t>67 (2021 m. gegužė)</t>
  </si>
  <si>
    <t>59 (2022 rugsėjis - lapkritis)</t>
  </si>
  <si>
    <t>2.3. Dalis bendrojo ugdymo mokyklų vadovų, kurie sutinka, kad aukštasis mokslas nėra būtinas, jei nori būti sėkmingas gyvenime</t>
  </si>
  <si>
    <t>63 (2021 m.)</t>
  </si>
  <si>
    <t>68 (2023 m.)</t>
  </si>
  <si>
    <t>64 (2022 rugsėjis - lapkritis)</t>
  </si>
  <si>
    <t>2.4. Dalis pedagogų sutinkančių, kad aukštasis mokslas nėra būtinas, jei nori būti sėkmingas gyvenime</t>
  </si>
  <si>
    <t>61 (2021 m.)</t>
  </si>
  <si>
    <t>66 (2023 m.)</t>
  </si>
  <si>
    <t>66 (2022 rugsėjis - lapkritis)</t>
  </si>
  <si>
    <t xml:space="preserve">3.1. Gyventojų, sutinkančių, kad aukštasis mokslas nėra būtinas, jei nori būti sėkmingas gyvenime, dalis. </t>
  </si>
  <si>
    <t>65, iš jų 32 proc. visiškai sutinka (2017 m.)</t>
  </si>
  <si>
    <t>69, iš jų 21 proc. visiškai sutinka (2016 m.)</t>
  </si>
  <si>
    <t>65, iš jų 32 proc. visiškai sutinka (2017 m. lapkritis)</t>
  </si>
  <si>
    <t>65, iš jų 27 proc. visiškai sutinka (2018 m. lapkritis)</t>
  </si>
  <si>
    <t>66, iš jų 26 proc. visiškai sutinka (2019 m. spalis)</t>
  </si>
  <si>
    <t>62, iš jų 19 proc. visiškai sutinka (2021 m. kovas)</t>
  </si>
  <si>
    <t>65, iš jų visiškai sutinka 22 (2022 sausis)</t>
  </si>
  <si>
    <t>57, iš jų visiškai sutinka 18 (2023 sausis)</t>
  </si>
  <si>
    <t xml:space="preserve">3.2. Gyventojų, kuriems profesija yra vertybė, dalis. </t>
  </si>
  <si>
    <t xml:space="preserve">93, iš jų 56 proc. visiškai pritaria (2015 m.) </t>
  </si>
  <si>
    <t>93, iš jų 60 proc. visiškai pritaria (2023 m.)</t>
  </si>
  <si>
    <t>93, iš jų 54 visiškai pritaria (2016 spalis)</t>
  </si>
  <si>
    <t>93, iš jų 61 visiškai pritaria (2017 m. lapkritis)</t>
  </si>
  <si>
    <t>94, iš jų 59 visiškai pritaria (2018 m. lapkritis)</t>
  </si>
  <si>
    <t>92, iš jų 59 visiškai pritaria (2019 m. spalis)</t>
  </si>
  <si>
    <t>87, iš jų 48 visiškai pritaria (2021 m. kovas)</t>
  </si>
  <si>
    <t>85, iš jų 48 visiškai sutinka (2022 sausis)</t>
  </si>
  <si>
    <t>85, iš jų 42 visiškai sutinka (2023 sausis)</t>
  </si>
  <si>
    <t xml:space="preserve">AUGANTI LIETUVA </t>
  </si>
  <si>
    <t>1. Moderni švietimo sistema</t>
  </si>
  <si>
    <t xml:space="preserve">1. Skatinti tėvų įsitraukimą siekiant spręsti problemas mokykloje, atpažinti patyčias.
2. Skatinti tikslines auditorijas motyvuoti vaikus dalyvauti atliekant standartizuoto ugdymo testus.
3. Skatinti ugdymo kokybės gerinimą įvairiais būdais ir formomis.
4. Informuoti tėvus apie tai, kad visose mokyklose veikia nemokami būreliai, kad vaikas gali gauti nemokamas konsultacijas.
5. Skatinti tėvus leisti vaikus į ikimokyklinio ugdymo įstaigas.
6. Pristatyti geruosius edukacinių erdvių pavyzdžius, lanksčius ikimokyklinio ugdymo modelius savivaldybėse, skleisti gerąją patirtį.
</t>
  </si>
  <si>
    <t>Tėvai, pedagogai, mokyklų administracijos, savivaldybės</t>
  </si>
  <si>
    <t xml:space="preserve">1.1. Tėvų, kurie yra linkę įsitraukti į mokyklos veiklą, dalis.
</t>
  </si>
  <si>
    <t xml:space="preserve">Proc.
</t>
  </si>
  <si>
    <t xml:space="preserve">47 (2016 m.)
</t>
  </si>
  <si>
    <t xml:space="preserve">65 (2023m.)
</t>
  </si>
  <si>
    <t>n.d.</t>
  </si>
  <si>
    <t>65,2 proc., 2019 III ketv.</t>
  </si>
  <si>
    <t>55 (nuolat ir pakankamai dažnai įsitraukia) (2021 m. gegužė)</t>
  </si>
  <si>
    <t>52 (nuolat ir pakankamai dažnai įsitraukia) (2022 rugsėjis - lapkritis)</t>
  </si>
  <si>
    <t>2.1. Tėvų, kurie supranta standartizuotų testų naudą, dalis.</t>
  </si>
  <si>
    <t>83 (iš jų 34 proc. – labai svarbu, 2016 m. I ketv.)</t>
  </si>
  <si>
    <t>83,iš jų 39 proc. – labai svarbu (2023 m.)</t>
  </si>
  <si>
    <t>83,5 proc. (iš jų 32,7 proc. labai svarbu ), 2019 III ketv.</t>
  </si>
  <si>
    <t>57, iš jų 17 labai naudingi (2021 m. gegužė)</t>
  </si>
  <si>
    <t>60, iš jų 18 labai naudingi (2022 rugsėjis - lapkritis)</t>
  </si>
  <si>
    <t xml:space="preserve">3.1. Mokyklų, kurios dalyvauja pažangios mokyklos projektuose, skaičius.  </t>
  </si>
  <si>
    <t xml:space="preserve">Vnt. </t>
  </si>
  <si>
    <t>51 projektas (2017 m.)</t>
  </si>
  <si>
    <t>100 (iki 2022 m.)</t>
  </si>
  <si>
    <t>Bus matuojama 2020 m.</t>
  </si>
  <si>
    <t>Nematuota. Bus matuojama kampanijos pabaigoje.</t>
  </si>
  <si>
    <t xml:space="preserve">4.1. Mokinių, kurie gauna mokymosi pagalbą mokyklose, dalis. </t>
  </si>
  <si>
    <t>34 (2016 m. I ketv.)</t>
  </si>
  <si>
    <t>nematuota (ŠMM tyrimas)</t>
  </si>
  <si>
    <t>48,5 proc., 2019 III ketv.</t>
  </si>
  <si>
    <t xml:space="preserve">5.1. Dalis mokytojų, manančių, kad  yra kompetentingi atpažinti mokinių tarpusavio patyčias </t>
  </si>
  <si>
    <t>92 proc. (2015 m.), iš jų 30 proc. labai kompetentingi</t>
  </si>
  <si>
    <t>92 proc., iš jų 40 proc. labai kompetentingi (2023 m.)</t>
  </si>
  <si>
    <t>98,1 proc. (iš jų 29,3 proc. labai kompetentingi), 2019 III ketv.</t>
  </si>
  <si>
    <t>96, iš jų 18 visiškai kompetetingi (2021 m. gegužė)</t>
  </si>
  <si>
    <t>92, iš jų 19 višiskai kompetetingi (2022 rugsėjis - lapkritis)</t>
  </si>
  <si>
    <t>2. Galimybės augantiems (kompetencijų ir patirties krepšelis – stažuotės, praktika, mokslinė praktika, kt.)</t>
  </si>
  <si>
    <t xml:space="preserve">ŠMSM
</t>
  </si>
  <si>
    <t xml:space="preserve">2. Galimybės augantiems </t>
  </si>
  <si>
    <t xml:space="preserve">1. Skatinti jaunimo aktyvumą domėtis profesijų, karjeros galimybėmis.
2. Skatinti įstaigas aktyviai dalyvauti formuojant studentų karjerą.
3. Skatinti darbdavius įsitraukti į studentų praktikų formavimą ir vykdymą. </t>
  </si>
  <si>
    <t xml:space="preserve">Mokiniai nuo 14 m., studentai, švietimo įstaigos, darbdaviai
</t>
  </si>
  <si>
    <t xml:space="preserve">1.1. Mokinių nuo 14 metų, kurie dalyvavo ugdymo karjerai veiklose, dalis. 
</t>
  </si>
  <si>
    <t xml:space="preserve">Proc. 
</t>
  </si>
  <si>
    <t xml:space="preserve">76 (2016 m. I ketv.)
</t>
  </si>
  <si>
    <t xml:space="preserve">90 (2023 m.)
</t>
  </si>
  <si>
    <t>90,1 proc., 2019 III ketv.</t>
  </si>
  <si>
    <t>83 (2021 m. gegužė)</t>
  </si>
  <si>
    <t>Pagrindinės veiklos buvo įgyvendintos ( mokysiu.lt, tinklalaidės "Mokysiu", viešinimas socialiniuose tinkluose ir kt.)</t>
  </si>
  <si>
    <t xml:space="preserve">2.1. Studentų, teigiamai vertinančių švietimo įstaigos pasiūlytą praktiką, dalis. </t>
  </si>
  <si>
    <t>91, iš jų 31 proc. labai palankiai (2017 m.)</t>
  </si>
  <si>
    <t>96, iš jų 50 proc. labai palankiai (2023 m.)</t>
  </si>
  <si>
    <t>91 - (31 proc. vertina labai palankiai, 60 proc. – greičiau palankiai)</t>
  </si>
  <si>
    <t>94, jų 46 proc. labai palankiai (2018 m. lapkritis)</t>
  </si>
  <si>
    <t>96, iš jų 50 labai palankiai (2019 m. lapkritis)</t>
  </si>
  <si>
    <t>92, iš jų 34 proc. labai palankiai (2020 m. lapkritis)</t>
  </si>
  <si>
    <t>90, iš jų 37 labai palankiai (2021 m. lapkritis)</t>
  </si>
  <si>
    <t>86,  iš jų 32 labai palankiai (2022 m. lapkritis)</t>
  </si>
  <si>
    <t>3.1. Įmonių vadovų, manančių, kad jaunimo praktika – tai ne išlaidos, o investicijos, dalis.</t>
  </si>
  <si>
    <t xml:space="preserve">55,1 (2015 m.)
</t>
  </si>
  <si>
    <t>67 (2022 m.)</t>
  </si>
  <si>
    <t>63 (2016 m. gruodis)</t>
  </si>
  <si>
    <t>56 (2018 m. lapkritis)</t>
  </si>
  <si>
    <t>67 (iš jų, 24 visiškai sutinka) 2019 m. lapkritis</t>
  </si>
  <si>
    <t>62, iš jų 21 proc. visiškai sutinka (2020 m. lapkritis)</t>
  </si>
  <si>
    <t>63, iš jų 20 visiškai sutinka (2021 m. spalis)</t>
  </si>
  <si>
    <t>62, iš jų 18 visiškai sutinka (2022 m. rugsėjis)</t>
  </si>
  <si>
    <t>3. Auganti Lietuva</t>
  </si>
  <si>
    <t xml:space="preserve">1. Didinti žinojimą, kad yra valstybės teikiamų galimybių, kuriomis jaunimas gali naudotis. 
</t>
  </si>
  <si>
    <t xml:space="preserve">Studentai
</t>
  </si>
  <si>
    <t>1.1. Studentų, žinančių apie galimybes įsidarbinti, savanoriauti ar įgyti praktinių įgūdžių, dalis</t>
  </si>
  <si>
    <t>56 (2017 m.)</t>
  </si>
  <si>
    <t>64 (2022 m.)</t>
  </si>
  <si>
    <t>54 proc. (2016 m. gegužė)</t>
  </si>
  <si>
    <t>56 (2017 m. lapkritis)</t>
  </si>
  <si>
    <t xml:space="preserve">60 (2018 m. lapkritis) </t>
  </si>
  <si>
    <t>61 (2019 m. lapkritis)</t>
  </si>
  <si>
    <t>64 (2020 m. lapkritis)</t>
  </si>
  <si>
    <t>67 (2021 m. lapkritis)</t>
  </si>
  <si>
    <t>69 (2022 m. lapkritis)</t>
  </si>
  <si>
    <t>Viešieji pirkimai ir kampanijos veiklos  įvykdyti planuota apimtimi, tačiau paslaugos įsigytos gerokai pigiau nei buvo numatyta skirti lėšų.</t>
  </si>
  <si>
    <t>TOLYDI LIETUVA</t>
  </si>
  <si>
    <t>1. Integruojanti infrastruktūra</t>
  </si>
  <si>
    <t>KM</t>
  </si>
  <si>
    <t>1. Gyvenimas yra gražus 1</t>
  </si>
  <si>
    <t>Regione sukurta viešoji infrastruktūra yra patraukli visiems - nuo jauno iki seno, tiek gyventi, tiek dirbti</t>
  </si>
  <si>
    <t>Regionų (išskyrus 5 didžiuosius miestus) gyventojai</t>
  </si>
  <si>
    <t>1.1. Gyventojų, manančių, kad regionai yra patraukli vieta gyventi, auginti vaikus ir dirbti (aktyvus kultūrinis gyvenimas, bendruomeninė veikla, kokybiškos viešosios paslaugos, patrauklios galimybės verslui, kokybiška ir saugi gyvenamoji aplinka), dalis.</t>
  </si>
  <si>
    <t>64 (2019 m.)</t>
  </si>
  <si>
    <t>66 (2021 m. kovas)</t>
  </si>
  <si>
    <t>57 (2023 sausis)</t>
  </si>
  <si>
    <t>2022 m. III ketv.</t>
  </si>
  <si>
    <t xml:space="preserve">Užtrukus viešųjų pirkimų procedūroms, paslaugų sutartis sudaryta tik 2020 10-10 ir kampanijos įgyvendimas persikelia į 2023 m. </t>
  </si>
  <si>
    <t>2. Socialinė įtrauktis ir paslaugų prieinamumqas (vienodos galimybės visoms socialinėms</t>
  </si>
  <si>
    <t>SADM</t>
  </si>
  <si>
    <t>2. Lygink rūbus, ne žmones</t>
  </si>
  <si>
    <t>1. Skatinti suvokimą, kad svarbiausia yra darbuotojo kvalifikacija ir kompetencija, o ne asmeninė praeitis.</t>
  </si>
  <si>
    <t>Visuomenė Darbdaviai</t>
  </si>
  <si>
    <t>1. Tikslinės auditorijos dalis, sutinkanti, kad svarbiausia yra darbuotojo kvalifikacija ir kompetencija, o ne asmeninė praeitis</t>
  </si>
  <si>
    <t>54 (2019 m.) (visuomenė) 68 (2019 m. (darbdaviai)</t>
  </si>
  <si>
    <t>59 (2023 m.) (visuomenė) 73 (2023 m. ) (darbdaviai)</t>
  </si>
  <si>
    <t>80 (visuomenė), 69 (darbdaviai) (2021 m. lapkritis)</t>
  </si>
  <si>
    <t>78 (visuomenė), 70 (darbdaviai) (2022 m. lapkritis)</t>
  </si>
  <si>
    <t>Planuotos komunikacijos kampanijos veiklos buvo įgyvendintos</t>
  </si>
  <si>
    <t>3. Globos pertvarka</t>
  </si>
  <si>
    <t>1. Skatinti suvokimą, kad globoti vaiką yra kilnu ir prasminga. 2. Skatinti suvokimą, kad neįgalus asmuo yra pilnavertis visuomenės narys</t>
  </si>
  <si>
    <t>1. Tikslinės auditorijos dalis, sutinkanti, kad globoti vaiką yra kilnu ir prasminga</t>
  </si>
  <si>
    <t xml:space="preserve">Proc.
</t>
  </si>
  <si>
    <t>42 (2021 m. II ketv.)</t>
  </si>
  <si>
    <t>3 proc. punktai nuo pradinės reikšmės (2023 m.)</t>
  </si>
  <si>
    <t>45 (2022 lapkritis)</t>
  </si>
  <si>
    <t>2. Tikslinės auditorijos dalis, sutinkanti, kad neįgalus asmuo yra pilnavertis visuomenės narys.</t>
  </si>
  <si>
    <t>78 (2021 II ketv.)</t>
  </si>
  <si>
    <t>75 (2022 lapkritis)</t>
  </si>
  <si>
    <t>SVEIKA LIETUVA</t>
  </si>
  <si>
    <t>1. Sveikatos kultūra (asmeninė ir valstybinė sveiko gyvenimo būdo motyvacija)</t>
  </si>
  <si>
    <t>1. Sveikos gyvensenos populiarinimas</t>
  </si>
  <si>
    <t xml:space="preserve">1. Didinti žinomumą apie tai, kas yra sveika gyvensena ir kuo ji naudinga.
2. Ugdyti vaikų suvokimą, kad sveikai gyventi yra įdomu ir šaunu.
3. Diegti visuomenės narių suvokimą, kad aš esu pats atsakingas už savo sveikatą; man rūpi kitų sveikata.
</t>
  </si>
  <si>
    <t>Visuomenė, 
ypatingą dėmesį skiriant 30–45 metų gyventojams (šeimoms ir vaikams)</t>
  </si>
  <si>
    <t xml:space="preserve">1.1. Visuomenės narių, žinančių, ką reiškia gyventi sveikai, dalis.
</t>
  </si>
  <si>
    <t xml:space="preserve">86 (2015 m.)
</t>
  </si>
  <si>
    <t xml:space="preserve">98 (2023 m.)
</t>
  </si>
  <si>
    <t>96, iš jų 57 tikrai žino (2017 m. lapritis)</t>
  </si>
  <si>
    <t>95, iš jų 58 tikrai žino (2018 m. lapritis)</t>
  </si>
  <si>
    <t>95, iš jų 54 tikrai žino (2019 m. spalis)</t>
  </si>
  <si>
    <t>95, iš jų 49 tikrai žino (2021 m. kovas)</t>
  </si>
  <si>
    <t>93 (2021 m. rugpjūtis)</t>
  </si>
  <si>
    <t>95 (2022 m. liepa)</t>
  </si>
  <si>
    <t>Užsitęsusios viešųjų pirkimų procedūros, neįvykę  viešieji pirkimai dėl pasiūlytos per mažos viešųjų pirkimų vertės, žmogiškųjų išteklių trūkumas rengiant technines specifikacijas ir vykdant viešuosius pirkimus.</t>
  </si>
  <si>
    <t>2.1. Vaikų (iki 18 metų), manančių, kad sveikai gyventi yra įdomu ir šaunu, dalis.</t>
  </si>
  <si>
    <t>55 (2015 m.)</t>
  </si>
  <si>
    <t>85 (2018 m. gegužė)</t>
  </si>
  <si>
    <t>SAM planuoja matuoti 2020 m.</t>
  </si>
  <si>
    <t>Tyrimas bus atliekamas 2021 m. III-IV ketv. (atlieka SAM)</t>
  </si>
  <si>
    <t>83 2021 m. rugpjūtis)</t>
  </si>
  <si>
    <t>79 (2022 liepa)</t>
  </si>
  <si>
    <t>3.1. Padidėjusi visuomenės narių, manančių, kad yra atsakingi už savo sveikatą, dalis.</t>
  </si>
  <si>
    <t>10 (2015 m.)</t>
  </si>
  <si>
    <t>79 (2023 m.)</t>
  </si>
  <si>
    <t>72 (2017 m. gruodis)</t>
  </si>
  <si>
    <t>75 (2019 m. lapkritis)</t>
  </si>
  <si>
    <t>75 (2021 m. rugpjūtis)</t>
  </si>
  <si>
    <t>75 (2022 m. liepa)</t>
  </si>
  <si>
    <t>4.1 Padidėjusi visuomenės dalis, kuri sveikos gyvensenos įgūdžius išlaiko ilgiau nei 6 mėn.</t>
  </si>
  <si>
    <t>65 (2015 m.)</t>
  </si>
  <si>
    <t>67 (2021 m. rugpjūtis)</t>
  </si>
  <si>
    <t>70 (2022 m. liepa)</t>
  </si>
  <si>
    <t>TVARI LIETUVA</t>
  </si>
  <si>
    <t>1. Aplinkosauginė kultūra ir sąmoningumas (šiukšlių rūšiavimas, pagarba aplinkai)</t>
  </si>
  <si>
    <t>AM</t>
  </si>
  <si>
    <t xml:space="preserve">1. Išsinuomok gamtą neterminuotai
</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</si>
  <si>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</si>
  <si>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Visuomenė; didmiesčių (nuo 30 tūkst.) gyventojai (25–45 m.)</t>
  </si>
  <si>
    <t xml:space="preserve"> 1.1. Visuomenės, žinančios apie 2014–2020 m. siekiamus pokyčius aplinkosaugos srityje, dalis. 
</t>
  </si>
  <si>
    <t xml:space="preserve">Proc. 
</t>
  </si>
  <si>
    <t xml:space="preserve">39 (2015 m. gruodis)
</t>
  </si>
  <si>
    <t>32 (2017 m.)
41 (2018 m.)
55 (2019 m.)
60 (2020 m.)
64 (2021 m.)
68 (2022 m.) 
69 (2023 m.)</t>
  </si>
  <si>
    <t>47,3 (2016 m. sausis)</t>
  </si>
  <si>
    <t>83 (2017 m. gruodis)</t>
  </si>
  <si>
    <t>50 ( 2018 m. gruodis)</t>
  </si>
  <si>
    <t>50 (2019 m. gruodis)</t>
  </si>
  <si>
    <t>56 (2021 m. sausis)</t>
  </si>
  <si>
    <t>51 (2021 m. gruodis)</t>
  </si>
  <si>
    <t>Pagrindinės veiklos (klipo transliavimas TV radijuje, straipsniai) buvo įgyvendintos</t>
  </si>
  <si>
    <t>2.1. Visuomenės, prisidedančios prie aplinkos taršos mažinimo, dalis.</t>
  </si>
  <si>
    <t>60 (2014 m. IV ketv.)</t>
  </si>
  <si>
    <t>76 (2017 m.)
80 (2018 m.)
82 (2019 m.)
83 (2020 m.)
85 (2021 m.)
86 (2022 m.)
87 (2023 m.)</t>
  </si>
  <si>
    <t>89 (2016 m. sausis)</t>
  </si>
  <si>
    <t>76 (2017 m. gruodis)</t>
  </si>
  <si>
    <t>80 (2018 m. gruodis)</t>
  </si>
  <si>
    <t>84 (2019 m. gruodis)</t>
  </si>
  <si>
    <t>83 (2021 m. sausis)</t>
  </si>
  <si>
    <t>78 (2021 m. gruodis)</t>
  </si>
  <si>
    <t>84 (2022 m. rugsėjis)</t>
  </si>
  <si>
    <t xml:space="preserve">3.1. Visuomenės, pajutusios ES investicijų naudą aplinkosaugos srityje, dalis. </t>
  </si>
  <si>
    <t>40 (2014 m. IV ketv.)</t>
  </si>
  <si>
    <t>49 (2017 m.)
52 (2018 m.) 
57 (2019 m.) 
62 (2020 m.) 
67 (2021 m.) 
70 (2022 m.) 
71 (2023 m.)</t>
  </si>
  <si>
    <t>61 (2016 m. sausis)</t>
  </si>
  <si>
    <t>51 (2017 m. gruodis)</t>
  </si>
  <si>
    <t>52 (2018 m. gruodis)</t>
  </si>
  <si>
    <t>53 (2019 m. gruodis)</t>
  </si>
  <si>
    <t>51 (2021 m. sausis)</t>
  </si>
  <si>
    <t>55 (2021 m. gruodis)</t>
  </si>
  <si>
    <t>55 (2022 m. rugsėjis)</t>
  </si>
  <si>
    <t>APVA</t>
  </si>
  <si>
    <t>2. Išsinuomok gamtą neterminuotai</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</si>
  <si>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</si>
  <si>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41 (2018 m.)
55 (2019 m.)
60 (2020 m.)
64 (2021 m.)
68 (2022 m.) 
69 (2023 m.)</t>
  </si>
  <si>
    <t>Pagrindinės planuotos veiklos buvo gyvendintos</t>
  </si>
  <si>
    <t>80 (2018 m.)
82 (2019 m.)
83 (2020 m.)
85 (2021 m.)
86 (2022 m.)
87 (2023 m.)</t>
  </si>
  <si>
    <t>49 (2017 m.)
52 (2018 m.)
57 (2019 m.)
62 (2020 m.)
67 (2021 m.)
70 (2022 m.)
71 (2023 m.)</t>
  </si>
  <si>
    <t>3. Įmonės kuria tvarią Lietuvą</t>
  </si>
  <si>
    <t xml:space="preserve">1. Skatinti pramonės įmones mažinti energijos vartojimo intensyvumą ir efektyviau vartoti energiją.
2. Skatinti įmones diegti ekoinovacijas.
3. Skatinti suvokimą, kad aplinkosaugos standartus diegianti įmonė yra konkurenciškai pranašesnė. 
</t>
  </si>
  <si>
    <t xml:space="preserve">Verslo subjektai: 
1) pramonės, gamybos įmonės;
2) įmonės.
</t>
  </si>
  <si>
    <t xml:space="preserve">1.1. Įmonių, kurios domėjosi būdais taikyti ekoinovacijas (beatliekes ar mažaatliekes technologijas), jų kaina, ekonomine nauda, dalis.
</t>
  </si>
  <si>
    <t xml:space="preserve">Proc. 
</t>
  </si>
  <si>
    <t xml:space="preserve">27 (2015 m. gruodis)
</t>
  </si>
  <si>
    <t xml:space="preserve">39 (2023 m.)
</t>
  </si>
  <si>
    <t>32 (2016 m. gruodis)</t>
  </si>
  <si>
    <t>34 (2017 m. spalis)</t>
  </si>
  <si>
    <t>33 (2018 m. lapkritis)</t>
  </si>
  <si>
    <t>35 (2019 m. lapkritis)</t>
  </si>
  <si>
    <t>32 (2020 m. lapkritis)</t>
  </si>
  <si>
    <t>33 (2021 m. spalis)</t>
  </si>
  <si>
    <t>37 (2022 m. rugsėjis)</t>
  </si>
  <si>
    <t>Visos suplanuotos veiklos įvykdytos mažesniais kaštais nei buvo planuota.</t>
  </si>
  <si>
    <t>2.1. Įmonių, manančių, kad aplinkosaugos standartų diegimas suteikia pranašumo ar pagerina įmonės įvaizdį, dalis.</t>
  </si>
  <si>
    <t>76 (2016 m.)</t>
  </si>
  <si>
    <t>76 (2016 m. gruodis)</t>
  </si>
  <si>
    <t>52 (2018 m. lapritis)</t>
  </si>
  <si>
    <t>72 (2019 m. lapkritis)</t>
  </si>
  <si>
    <t>70 (2020 m. lapkritis)</t>
  </si>
  <si>
    <t>70 (2021 m. spalis)</t>
  </si>
  <si>
    <t>68 (2022 m. rugsėjis)</t>
  </si>
  <si>
    <t>2.2. Pramonės įmonių, įdiegusių ar planuojančių diegti energijos suvartojimo intensyvumą mažinančias technologijas, dalis.  (Rodiklis pasiektas 2018 m. 67 proc.)</t>
  </si>
  <si>
    <t>51 (2016 m.)</t>
  </si>
  <si>
    <t>59 (2021 m.)</t>
  </si>
  <si>
    <t>51 (2016 m. gruodis)</t>
  </si>
  <si>
    <t>54 (2017 m. lapkritis)</t>
  </si>
  <si>
    <t>67 (2018 m. lapkritis)</t>
  </si>
  <si>
    <t>63 (2019 m. lapkritis)</t>
  </si>
  <si>
    <t>66 (2020 m. lapkritis)</t>
  </si>
  <si>
    <t>Krypties detalizavimo lentelėje nurodyta, kad rodiklis pasiektas ir toliau siekiamas nebus.</t>
  </si>
  <si>
    <t>Krypties detalizavimo lentelėje nurodyta, kad rodiklis pasiektas ir toliau siekiamas nebus</t>
  </si>
  <si>
    <t>1
Krypties detalizavimo lentelėje nurodyta, kad rodiklis pasiektas ir toliau siekiamas nebus.</t>
  </si>
  <si>
    <t xml:space="preserve">3.1. Įmonių, įdiegusių aplinkosauginius standartus, dalis.  </t>
  </si>
  <si>
    <t>13 (2015 m.)</t>
  </si>
  <si>
    <t>23 (2021 m.)</t>
  </si>
  <si>
    <t>17 (2016 m. gruodis)</t>
  </si>
  <si>
    <t>20 (2017 m. lapkritis)</t>
  </si>
  <si>
    <t>19 (2018 m. lapkritis)</t>
  </si>
  <si>
    <t>24 (2019 m. lapkritis)</t>
  </si>
  <si>
    <t>30 (2020 m. lapkritis)</t>
  </si>
  <si>
    <t>29 (2021 m. spalis)</t>
  </si>
  <si>
    <t>34 (2022 m. rugsėjis)
Krypties detalizavimo lentelėje ir paraiškoje nurodyta, kad rodiklis pasiketas 2019 m. ir nebus siekiamas</t>
  </si>
  <si>
    <t>4. Apgalvotas išteklių naudojimas (Galvok. Taupyk. Būk atsakingaas)</t>
  </si>
  <si>
    <t>1. Skatinti įmones taikyti mažaatliekes technologijas, naudoti mažakiekes pakuotes.
2. Skatinti pramonės įmones gamybos, paslaugų procesuose naudotis technologijomis, mažinančiomis taršą, savo veikloje taikyti ekologinius sprendimus.</t>
  </si>
  <si>
    <t xml:space="preserve">Pramonės, gamybos įmonės
</t>
  </si>
  <si>
    <t xml:space="preserve">1.1. Įmonių, kurios domėjosi būdais, kaip taikyti ekoinovacijas (beatliekes ar mažaatliekes technologijas), jų kaina, ekonomine  nauda, dalis.
</t>
  </si>
  <si>
    <t>27 (2015 m. gruodis)</t>
  </si>
  <si>
    <t>39 (2023 m.)</t>
  </si>
  <si>
    <t xml:space="preserve"> 2.1. Įmonių, įsidiegusių aplinkosauginius standartus, dalis.</t>
  </si>
  <si>
    <t>2.2. Įmonių, kurios sutinka, kad aplinkosaugos standartų diegimas suteikia įmonei pranašumo/pagerina įmonės įvaizdį tarp klientų, dalis.</t>
  </si>
  <si>
    <t>2. Tvarus energijos vartojimas (susisiekimas, transportas, energetika, būstas)</t>
  </si>
  <si>
    <t>EM</t>
  </si>
  <si>
    <t>5. Energijos nešvaistau (Energiją vartok taupiai)</t>
  </si>
  <si>
    <t xml:space="preserve">1. Skatinti gyventojus taupyti energijos išteklius ir (ar) energiją (elektros energiją, šilumos energiją).
2. Skatinti įmones taupyti išteklius (elektros energiją, šilumos energiją, vandenį). 
3. Skatinti įmones diegti sistemas, padedančias efektyviai naudoti išteklius.
4. Skatinti naudoti energiją iš vietinių ir atsinaujinančių energijos išteklių.
5. Skatinti pastatų administravimo įmones taupyti energijos išteklius ir (ar) energiją (elektros energiją, šilumos energiją).
</t>
  </si>
  <si>
    <t xml:space="preserve">Įmonės; pastatų administravimo įmonės; visuomenė.
</t>
  </si>
  <si>
    <t>1.1. Visuomenės, per paskutinį mėnesį dėl aplinkos apsaugos priežasčių sumažinusios energijos suvartojimą (pvz., apribojant kondicionavimą, šildymą, nepaliekant prietaisų veikti budėjimo režimu, perkant energiją tausojančius įrenginius), dalis.</t>
  </si>
  <si>
    <t>35 (2014 m.)</t>
  </si>
  <si>
    <t>EM planuoja matuoti 2021 m.</t>
  </si>
  <si>
    <t>EM planuoja matuoti 2023 m.</t>
  </si>
  <si>
    <t>EM planuoja matuoti 2023 m., pirkimas planuojamas 2023 m. kovą</t>
  </si>
  <si>
    <t>2023 m. II ketv.</t>
  </si>
  <si>
    <t>Lėšos nebuvo panaudotos</t>
  </si>
  <si>
    <t xml:space="preserve">2.1. Įmonių, per paskutinį mėnesį dėl aplinkos apsaugos sumažinusių energijos suvartojimą (pvz., apribojant kondicionavimą, šildymą, nepaliekant prietaisų veikti budėjimo režimu, perkant energiją tausojančius įrenginius), dalis.
</t>
  </si>
  <si>
    <t xml:space="preserve">Proc. 
</t>
  </si>
  <si>
    <t xml:space="preserve">32 (2015 m.)
</t>
  </si>
  <si>
    <t xml:space="preserve">37 (2023 m.)
</t>
  </si>
  <si>
    <t>35 (2016 m. gruodis)</t>
  </si>
  <si>
    <t>35 (2017 m. spalis)</t>
  </si>
  <si>
    <t>37 (2019 m. lapkritis)</t>
  </si>
  <si>
    <t>39 (2020 m. lapkritis)</t>
  </si>
  <si>
    <t>31 (2021 m. spalis)</t>
  </si>
  <si>
    <t>44 (2022 m. rugsėjis)</t>
  </si>
  <si>
    <t>3.1. Įmonių, per paskutinį mėnesį įsigijusių energijos iš vietinių šaltinių, dalis.</t>
  </si>
  <si>
    <t>28 (2015 m.)</t>
  </si>
  <si>
    <t>33 (2023 m.)</t>
  </si>
  <si>
    <t>34 (2017 m. lapkritis)</t>
  </si>
  <si>
    <t>33 (2019 m. lapkritis)</t>
  </si>
  <si>
    <t>Rodiklio reikšmė pasiekta 2017 m. Rodiklio reikšmė daugiau nebeskaičiuojama.</t>
  </si>
  <si>
    <t xml:space="preserve">4.1. Pastatų administravimo įmonių, kurios, įsigydamos prietaisus, pirmenybę teikė efektyviems (mažiausiai energijos vartojantiems) sprendimams, dalis. </t>
  </si>
  <si>
    <t xml:space="preserve"> 76 (2016 m.)</t>
  </si>
  <si>
    <t xml:space="preserve">5.1. Pastatų administravimo įmonių, per paskutinį mėnesį atsakingai naudojusių energijos išteklius ir (ar) energiją (išjungė šviesą, naudojo efektyvius prietaisus, technologijas, įrenginius, išjungė prietaisus iš lizdo), dalis. </t>
  </si>
  <si>
    <t>80 (2016 m.)</t>
  </si>
  <si>
    <t>85 (2023 m.)</t>
  </si>
  <si>
    <t xml:space="preserve"> 80 (2016 m.)</t>
  </si>
  <si>
    <t>6. Naudojame išteklius efektyviai</t>
  </si>
  <si>
    <t>1. Skatinti įmones taupyti išteklius</t>
  </si>
  <si>
    <t>Įmonės</t>
  </si>
  <si>
    <t xml:space="preserve">1.1. Įmonių, per paskutinį mėnesį sumažinusių energijos suvartojimą dėl aplinkos apsaugos (apribotas kondicionavimas, šildymas, prietaisai nepaliekami budėjimo rėžime, perkami energiją tausojantys prietaisai), dalis. </t>
  </si>
  <si>
    <t>32 (2015 m. gruodis)</t>
  </si>
  <si>
    <t>34 (2018 m. lapkritis)</t>
  </si>
  <si>
    <t>KURIANTI LIETUVA</t>
  </si>
  <si>
    <t>2. Visuomenė – aktyvesnė kūrėja</t>
  </si>
  <si>
    <t>1. Menas moka!</t>
  </si>
  <si>
    <t>1. Skatinti suvokimą, kad kūryba ir kūrybiškumas yra mano konkurencinis pranašumas.
2. Skatinti visuomenę tapti aktyvesne kultūros produktų kūrėja.
3. 3. Skatinti suvokimą, kad kultūra gali būti remiama ne tik valstybės, bet ir kitais šaltiniais, gali nešti pelną</t>
  </si>
  <si>
    <t>Visuomenė, jaunimas, kūrėjai, menininkai, kultūros įstaigos</t>
  </si>
  <si>
    <t>1.1. Gyventojų, dalyvaujančių kultūrinėje veikloje (užsiimančių tradiciniais amatais, dalyvaujančių bendruomenės kultūrinėje veikloje, kultūros įstaigų veikloje ir t.t.), dalis</t>
  </si>
  <si>
    <t>62 (2022 m.)</t>
  </si>
  <si>
    <t>63 (2023 m.)</t>
  </si>
  <si>
    <t>Nematuota, nes kampanijos veiklos nebuvo pradėtos</t>
  </si>
  <si>
    <t>nustatyta pradinė reikšmė</t>
  </si>
  <si>
    <t>2023 m. I ketv.</t>
  </si>
  <si>
    <t xml:space="preserve">Užsitęsęs pirkimas, kampanijos įgyvendinimas persikelia į 2023 m. FM esame informavę dėl šių lėšų perkėlimo į 2023 m. Sutartis planuojama pasirašyti 2023 m. I ketv. </t>
  </si>
  <si>
    <t>2.1. Gyventojų, pritariančių nuostatai, kad asmens kūrybiškumas yra jo konkurencinis pranašumas, dalis</t>
  </si>
  <si>
    <t>87 (2022 m.)</t>
  </si>
  <si>
    <t>88 (2023 m.)</t>
  </si>
  <si>
    <t>3.1. Kultūros įstaigų sutartys su verslu ar menininkais.</t>
  </si>
  <si>
    <t>190 (2020 m.)</t>
  </si>
  <si>
    <t>209 (2023 m.)</t>
  </si>
  <si>
    <t>Bus nustatyta 2021 m. II ketv.</t>
  </si>
  <si>
    <t>Nematuota, nes kampanijos veiklos nebuvo pradėtos. Problema dėl rodiklio matavimo, KM planuoja jį pakeisti</t>
  </si>
  <si>
    <t>KM duomenys, planuoja reikšmę turėti vasario pab.-kovą</t>
  </si>
  <si>
    <t>dar nežinoma</t>
  </si>
  <si>
    <t>2. Naudok legaliai!</t>
  </si>
  <si>
    <t>1. Visuomenei suteiktos žinios, kad intelektinis turinys yra saugomas ir kaip vartoti legalų turinį.</t>
  </si>
  <si>
    <t>Visuomenės dalis, jaunimas, kuris vartoja autorių teisių saugomą intelektinį turinį nelegaliai</t>
  </si>
  <si>
    <t>1. Gyventojų dalis, pritarianti nuostatai, kad ES investicijos padeda siekti teigiamų ekonominių pokyčių šalyje</t>
  </si>
  <si>
    <t>78 (2021 m.)</t>
  </si>
  <si>
    <t>79 (2023 sausis)</t>
  </si>
  <si>
    <t xml:space="preserve">2022 m. įsigytos paslaugos dėl kampanijos koncepcijos sukūrimo. </t>
  </si>
  <si>
    <t>2. Jauno amžiaus interneto vartotojai (16–29 m.), kurie renkasi nelegalius skaitmeninio turinio šaltinius</t>
  </si>
  <si>
    <t>77 (2022 m.)</t>
  </si>
  <si>
    <t>67 (2023 m.)</t>
  </si>
  <si>
    <t>77 (2022 m. sausis)</t>
  </si>
  <si>
    <t>3. Jauno amžiaus (16–29 m.) vartotojai rinkdamiesi vartoti turinį nelegaliai, nežino, kad taip pažeidžia autorių teises</t>
  </si>
  <si>
    <t>9 (2022 m.)</t>
  </si>
  <si>
    <t>9 (2022 m. sausis)</t>
  </si>
  <si>
    <t>AKTYVI (PILIETIŠKA) LIETUVA</t>
  </si>
  <si>
    <t>1. Aktyvi visuomenė ir pilietinė veikla</t>
  </si>
  <si>
    <t>1. Gyvenimas yra gražus 2</t>
  </si>
  <si>
    <t>1. Skatinti gyventojus dalyvauti savanoriškoje ir bendruomeninėje veikloje</t>
  </si>
  <si>
    <t>1.1. Gyventojų, manančių, kad gali patys prisidėti prie socialinių pokyčių ir problemų sprendimo, dalis.</t>
  </si>
  <si>
    <t>47 (2019 m.)</t>
  </si>
  <si>
    <t>64 (2021 m. kovas)</t>
  </si>
  <si>
    <t>53 (2023 sausis)</t>
  </si>
  <si>
    <t>2023 m. III ketv.</t>
  </si>
  <si>
    <t xml:space="preserve">Užsitęsęs pirkimas. FM esame informavę dėl šių lėšų perkėlimo į 2023 m. Sutartis planuojama pasirašyti 2023 m. I ketv. </t>
  </si>
  <si>
    <t>2. Bendruomenė - tai aš</t>
  </si>
  <si>
    <t>1. Skatinti gyventojus dalyvauti savanoriškoje ir bendruomeninėje veikloje.</t>
  </si>
  <si>
    <t>1. Gyventojų, manančių, kad gali patys prisidėti prie socialinių pokyčių ir problemų sprendimo, dalis.</t>
  </si>
  <si>
    <t>65 (2020)</t>
  </si>
  <si>
    <t>Įvykdžius viešuosius pirkimus paslaugos nupirktos pigiau nei planuota. Užtrukus viešųjų pirkimų procedūroms, paslaugų sutartis sudaryta tik 2022 m. lapkričio 17 d. ir dalis kompanijos veiklų persikelia į 2023 metus. Komunikacijos kampanijos paslaugos pirktos 2022-2023 m. laikotarpiui.</t>
  </si>
  <si>
    <t>2. Visuomenės dalis, per paskutinius metus dalyvavusi savanoriškoje ar bendruomeninėje veikloje sprendžiant aktualias socialines problemas.</t>
  </si>
  <si>
    <t>24 (2020)</t>
  </si>
  <si>
    <t>26 (2023 m.)</t>
  </si>
  <si>
    <t>24 (2021 m. kovas)</t>
  </si>
  <si>
    <t>21 (2022 sausis)</t>
  </si>
  <si>
    <t>23 (2023 sausis)</t>
  </si>
  <si>
    <t>EFEKTYVI LIETUVA</t>
  </si>
  <si>
    <t>1. Kokybiškas aptarnavimas viešajame sektoriuje (darbuotojų kompetencijos ir paslaugos)</t>
  </si>
  <si>
    <t xml:space="preserve">1. Pagrindinis kiekvieno viešojo sektoriaus darbuotojo tikslas - geresnė viešųjų paslaugų kokybė. </t>
  </si>
  <si>
    <t xml:space="preserve">1. Skatinti įstaigų vadovus nuolat sekti ir tobulinti klientams teikiamų paslaugų kokybę ir veiklos procesų efektyvumą.
2. Stiprinti vadovų nuostatas, požiūrį, kad jie yra atsakingi už įstaigos darbuotojų profesionalumą, diegiamus etikos standartus, vidinę kultūrą.
3. Skatinti tarnautojus klientus aptarnauti kokybiškai.
4. Formuoti tarnautojų nuostatą, kad nuo jų sprendimų priklauso visuomenės gerovė.
5. Skatinti gyventojus iš viešosiomis lėšomis finansuojamų institucijų reikalauti kokybiškos paslaugos ir pareikšti nuomonę apie blogą ar gerą paslaugų kokybę.
6. Kurti ir puoselėti valstybės tarnautojo reputaciją visuomenės akyse. </t>
  </si>
  <si>
    <t>Viešojo valdymo institucijų (ligoninių, mokyklų, savivaldybės administracijos, seimui atskaitingų institucijų, viešąsias paslaugas teikiančių institucijų, valstybinių ir savivaldybės įmonių, teikiančių viešąsias paslaugas) vadovai; tarnautojai; viešojo valdymo institucijų darbuotojai; visuomenė</t>
  </si>
  <si>
    <t>1.1. Savivaldybių, turinčių piliečių chartijas, dalis.</t>
  </si>
  <si>
    <t>25 (2016 m.)</t>
  </si>
  <si>
    <t>50 (2022 m.)</t>
  </si>
  <si>
    <t xml:space="preserve">n.d. </t>
  </si>
  <si>
    <t>48 (2018 m.)</t>
  </si>
  <si>
    <t>n.d.  (vertinami 2018 m. duomenys)</t>
  </si>
  <si>
    <t xml:space="preserve">VRM pateikė reikšmę už 2020 m. (2022 m. kovas) </t>
  </si>
  <si>
    <t xml:space="preserve">2022 m. </t>
  </si>
  <si>
    <t xml:space="preserve">Poreikio paraiškoje komunikacijos kampanijos vykdymui buvo išleista mažiau lėšų, nes vienos suplanuotos veiklos buvo atsisakyta (40 tūkst. Eur. buvo planuojama išleisti audiovizualinės produkcijos transliacijos paslaugoms, tačiau dėl užsitęsusios audiovizualinės produkcijos gamybos, minėtos paslaugos nebuvo nupirktos). 
Mažesnį lėšų panaudojimą taip pat lėmė ir tai, kad daliai veiklų vykdyti reikalingos paslaugos buvo nupirktos už mažesnę sumą.  </t>
  </si>
  <si>
    <t>2.1. Viešojo valdymo institucijų, atliekančių asmenų apklausas apie paslaugų kokybę, dalis.</t>
  </si>
  <si>
    <t>60 (2016 m.)</t>
  </si>
  <si>
    <t xml:space="preserve">14,8 (2018 m.) </t>
  </si>
  <si>
    <t>3.1. Gyventojų, pasitikinčių valstybės ir savivaldybių institucijomis  ir įstaigomis, dalis. (rodiklis pasiektas - 68 proc. 2020 m. )</t>
  </si>
  <si>
    <t>45 (2016 m.)</t>
  </si>
  <si>
    <t>56 (2022 m.)</t>
  </si>
  <si>
    <t>67,4 (2018 m.)</t>
  </si>
  <si>
    <t xml:space="preserve">1
</t>
  </si>
  <si>
    <t>4.1. Administracinių paslaugų teikimo ir aptarnavimo efektyvumo koeficientas.</t>
  </si>
  <si>
    <t>Koef.</t>
  </si>
  <si>
    <t>0,9 (2016 m.)</t>
  </si>
  <si>
    <t>0,9 (2022 m.)</t>
  </si>
  <si>
    <t>Bus pateikta 2021 m. birželio mėn. (VRM apklausa)</t>
  </si>
  <si>
    <t>Komunikacijos kampanijų skaičius</t>
  </si>
  <si>
    <t>Kampanijų skaičius, kurioms 2022 m. skirtas finansavimas</t>
  </si>
  <si>
    <t xml:space="preserve">2022 m. plano vykdymas, proc. </t>
  </si>
  <si>
    <t xml:space="preserve">Komunikacijos kampanijų vertė, 2022 m. </t>
  </si>
  <si>
    <t xml:space="preserve">Panaudotas biudžetas, 2022 m. </t>
  </si>
  <si>
    <t xml:space="preserve">Finansinė pažanga 2022 m., proc. </t>
  </si>
  <si>
    <t>IŠ VISO:</t>
  </si>
  <si>
    <t>Be visuotinės dotacijos</t>
  </si>
  <si>
    <t>Institucija</t>
  </si>
  <si>
    <t>2022 m. pagal planą vykdomų kampanijų skaičius</t>
  </si>
  <si>
    <t xml:space="preserve">Finansinė pažanga, proc. </t>
  </si>
  <si>
    <t>Aplinkos ministerija</t>
  </si>
  <si>
    <t>Ekonomikos ir inovacijų ministerija</t>
  </si>
  <si>
    <t>Energetikos ministerija</t>
  </si>
  <si>
    <t>Finansų ministerija</t>
  </si>
  <si>
    <t>Kultūros ministerija</t>
  </si>
  <si>
    <t>Socialinės apsaugos ir darbo ministerija</t>
  </si>
  <si>
    <t>Susisiekimo ministerija</t>
  </si>
  <si>
    <t>Sveikatos apsaugos ministerija</t>
  </si>
  <si>
    <t>Švietimo, mokslo ir sporto ministerija</t>
  </si>
  <si>
    <t>Vidaus reikalų ministerija</t>
  </si>
  <si>
    <t xml:space="preserve">APVA </t>
  </si>
  <si>
    <t>IA (buvusi LVPA)</t>
  </si>
  <si>
    <t>NVO (visuotinės dotacijos priemonė)</t>
  </si>
  <si>
    <t>IŠ VISO</t>
  </si>
  <si>
    <t>22 (pagalba iš švietimo pagalbos specialistų) (2021 m. gegužė)</t>
  </si>
  <si>
    <t>63,5 (pagalba iš švietimo pagalbos specialistų) (2022 rugsėjis - lapkritis)</t>
  </si>
  <si>
    <t>1 (pokytis vertinamas lyginant su 2019 m.)</t>
  </si>
  <si>
    <t>43 (iš jų 42 - 2022 m., 1 -2023 m.)</t>
  </si>
  <si>
    <t>76, iš jų 39 visiškai sutinka, kad perspektyvu (2022 m. rugsėjis- lapkritis)</t>
  </si>
  <si>
    <t>77, iš jų 32 visiškai sutiko, kad perspektyvu (2022 m. rugsėjis-lapkritis)</t>
  </si>
  <si>
    <t>56, iš jų 24 visiškai sutinka, kad perspektyvu (2022 rugsėjis - lapkritis)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</si>
</sst>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83C]#,##0.00"/>
    <numFmt numFmtId="165" formatCode="#,##0\ _L_t"/>
    <numFmt numFmtId="166" formatCode="#,##0\ &quot;€&quot;"/>
  </numFmts>
  <fonts count="36" x14ac:knownFonts="1">
    <font>
      <sz val="11"/>
      <color theme="1"/>
      <name val="Calibri"/>
      <family val="2"/>
      <charset val="186"/>
      <scheme val="minor"/>
    </font>
    <font>
      <b/>
      <sz val="12"/>
      <name val="Times New Roman"/>
      <family val="1"/>
      <charset val="186"/>
    </font>
    <font>
      <sz val="11"/>
      <name val="Calibri"/>
      <family val="2"/>
      <charset val="186"/>
      <scheme val="minor"/>
    </font>
    <font>
      <sz val="12"/>
      <name val="Times New Roman"/>
      <family val="1"/>
      <charset val="186"/>
    </font>
    <font>
      <sz val="12"/>
      <color rgb="FFFF0000"/>
      <name val="Times New Roman"/>
      <family val="1"/>
      <charset val="186"/>
    </font>
    <font>
      <sz val="13"/>
      <name val="Times New Roman"/>
      <family val="1"/>
      <charset val="186"/>
    </font>
    <font>
      <sz val="11"/>
      <name val="Times New Roman"/>
      <family val="1"/>
      <charset val="186"/>
    </font>
    <font>
      <sz val="12"/>
      <color theme="1"/>
      <name val="Times New Roman"/>
      <family val="1"/>
      <charset val="186"/>
    </font>
    <font>
      <sz val="11"/>
      <color theme="1"/>
      <name val="Calibri"/>
      <family val="2"/>
      <charset val="186"/>
      <scheme val="minor"/>
    </font>
    <font>
      <sz val="14"/>
      <name val="Cambria"/>
      <family val="1"/>
      <charset val="186"/>
      <scheme val="major"/>
    </font>
    <font>
      <sz val="13"/>
      <name val="Cambria"/>
      <family val="1"/>
      <charset val="186"/>
      <scheme val="major"/>
    </font>
    <font>
      <sz val="13"/>
      <color theme="1"/>
      <name val="Cambria"/>
      <family val="1"/>
      <charset val="186"/>
      <scheme val="major"/>
    </font>
    <font>
      <b/>
      <sz val="13"/>
      <name val="Cambria"/>
      <family val="1"/>
      <charset val="186"/>
      <scheme val="major"/>
    </font>
    <font>
      <b/>
      <sz val="13"/>
      <color theme="1"/>
      <name val="Cambria"/>
      <family val="1"/>
      <charset val="186"/>
      <scheme val="major"/>
    </font>
    <font>
      <sz val="12"/>
      <color theme="1"/>
      <name val="Times New Roman"/>
      <family val="1"/>
    </font>
    <font>
      <sz val="9"/>
      <color indexed="81"/>
      <name val="Tahoma"/>
      <family val="2"/>
    </font>
    <font>
      <b/>
      <sz val="9"/>
      <color indexed="81"/>
      <name val="Tahoma"/>
      <family val="2"/>
    </font>
    <font>
      <sz val="9"/>
      <color indexed="81"/>
      <name val="Tahoma"/>
      <family val="2"/>
      <charset val="186"/>
    </font>
    <font>
      <b/>
      <sz val="9"/>
      <color indexed="81"/>
      <name val="Tahoma"/>
      <family val="2"/>
      <charset val="186"/>
    </font>
    <font>
      <b/>
      <sz val="12"/>
      <color rgb="FFFF0000"/>
      <name val="Times New Roman"/>
      <family val="1"/>
      <charset val="186"/>
    </font>
    <font>
      <sz val="12"/>
      <color rgb="FF00B050"/>
      <name val="Times New Roman"/>
      <family val="1"/>
      <charset val="186"/>
    </font>
    <font>
      <sz val="12"/>
      <color rgb="FF00B050"/>
      <name val="Times New Roman"/>
      <family val="1"/>
    </font>
    <font>
      <sz val="9"/>
      <color indexed="81"/>
      <name val="Tahoma"/>
      <charset val="186"/>
    </font>
    <font>
      <b/>
      <sz val="9"/>
      <color indexed="81"/>
      <name val="Tahoma"/>
      <charset val="186"/>
    </font>
    <font>
      <b/>
      <sz val="12"/>
      <color theme="1"/>
      <name val="Times New Roman"/>
      <family val="1"/>
      <charset val="186"/>
    </font>
    <font>
      <sz val="12"/>
      <name val="Calibri"/>
      <family val="2"/>
      <charset val="186"/>
      <scheme val="minor"/>
    </font>
    <font>
      <sz val="12"/>
      <color theme="1"/>
      <name val="Calibri"/>
      <family val="2"/>
      <charset val="186"/>
      <scheme val="minor"/>
    </font>
    <font>
      <sz val="12"/>
      <color rgb="FF0070C0"/>
      <name val="Times New Roman"/>
      <family val="1"/>
      <charset val="186"/>
    </font>
    <font>
      <sz val="12"/>
      <color theme="0"/>
      <name val="Times New Roman"/>
      <family val="1"/>
      <charset val="186"/>
    </font>
    <font>
      <b/>
      <sz val="12"/>
      <color theme="0"/>
      <name val="Times New Roman"/>
      <family val="1"/>
      <charset val="186"/>
    </font>
    <font>
      <b/>
      <sz val="12"/>
      <color theme="1"/>
      <name val="Times New Roman"/>
      <family val="1"/>
    </font>
    <font>
      <u/>
      <sz val="12"/>
      <color theme="1"/>
      <name val="Times New Roman"/>
      <family val="1"/>
      <charset val="186"/>
    </font>
    <font>
      <i/>
      <sz val="12"/>
      <color theme="1"/>
      <name val="Times New Roman"/>
      <family val="1"/>
      <charset val="186"/>
    </font>
    <font>
      <i/>
      <sz val="10"/>
      <name val="Cambria"/>
      <family val="1"/>
      <charset val="186"/>
      <scheme val="major"/>
    </font>
    <font>
      <i/>
      <sz val="11"/>
      <name val="Calibri"/>
      <family val="2"/>
      <charset val="186"/>
      <scheme val="minor"/>
    </font>
    <font>
      <sz val="12"/>
      <color rgb="FF000000"/>
      <name val="Times New Roman"/>
      <family val="1"/>
      <charset val="186"/>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
      <patternFill patternType="solid">
        <fgColor theme="4" tint="0.79998168889431442"/>
        <bgColor indexed="64"/>
      </patternFill>
    </fill>
  </fills>
  <borders count="5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s>
  <cellStyleXfs count="3">
    <xf numFmtId="0" fontId="0" fillId="0" borderId="0"/>
    <xf numFmtId="9" fontId="8" fillId="0" borderId="0" applyFont="0" applyFill="0" applyBorder="0" applyAlignment="0" applyProtection="0"/>
    <xf numFmtId="0" fontId="8" fillId="0" borderId="0"/>
  </cellStyleXfs>
  <cellXfs count="367">
    <xf numFmtId="0" fontId="0" fillId="0" borderId="0" xfId="0"/>
    <xf numFmtId="0" fontId="2" fillId="2" borderId="0" xfId="0" applyFont="1" applyFill="1"/>
    <xf numFmtId="0" fontId="2" fillId="2" borderId="0" xfId="0" applyFont="1" applyFill="1" applyAlignment="1">
      <alignment horizontal="left" vertical="top" wrapText="1"/>
    </xf>
    <xf numFmtId="0" fontId="6" fillId="2" borderId="0" xfId="0" applyFont="1" applyFill="1"/>
    <xf numFmtId="0" fontId="2" fillId="2" borderId="0" xfId="0" applyFont="1" applyFill="1" applyAlignment="1">
      <alignment horizontal="left"/>
    </xf>
    <xf numFmtId="3" fontId="0" fillId="0" borderId="0" xfId="0" applyNumberFormat="1"/>
    <xf numFmtId="0" fontId="9" fillId="3" borderId="2" xfId="0" applyFont="1" applyFill="1" applyBorder="1" applyAlignment="1">
      <alignment horizontal="center" vertical="top" wrapText="1"/>
    </xf>
    <xf numFmtId="0" fontId="10" fillId="2" borderId="2" xfId="0" applyFont="1" applyFill="1" applyBorder="1" applyAlignment="1">
      <alignment horizontal="center" vertical="top"/>
    </xf>
    <xf numFmtId="0" fontId="11" fillId="0" borderId="2" xfId="0" applyFont="1" applyBorder="1" applyAlignment="1">
      <alignment horizontal="center"/>
    </xf>
    <xf numFmtId="3" fontId="10" fillId="0" borderId="2" xfId="0" applyNumberFormat="1" applyFont="1" applyBorder="1" applyAlignment="1">
      <alignment horizontal="center"/>
    </xf>
    <xf numFmtId="3" fontId="11" fillId="0" borderId="2" xfId="0" applyNumberFormat="1" applyFont="1" applyBorder="1" applyAlignment="1">
      <alignment horizontal="center"/>
    </xf>
    <xf numFmtId="0" fontId="12" fillId="3" borderId="2" xfId="0" applyFont="1" applyFill="1" applyBorder="1" applyAlignment="1">
      <alignment horizontal="center" vertical="top"/>
    </xf>
    <xf numFmtId="9" fontId="12" fillId="3" borderId="2" xfId="1" applyFont="1" applyFill="1" applyBorder="1" applyAlignment="1">
      <alignment horizontal="center" vertical="top"/>
    </xf>
    <xf numFmtId="3" fontId="12" fillId="3" borderId="2" xfId="0" applyNumberFormat="1" applyFont="1" applyFill="1" applyBorder="1" applyAlignment="1">
      <alignment horizontal="center" vertical="top"/>
    </xf>
    <xf numFmtId="0" fontId="13" fillId="3" borderId="2" xfId="0" applyFont="1" applyFill="1" applyBorder="1" applyAlignment="1">
      <alignment horizontal="right"/>
    </xf>
    <xf numFmtId="0" fontId="11" fillId="0" borderId="2" xfId="0" applyFont="1" applyBorder="1"/>
    <xf numFmtId="0" fontId="13" fillId="3" borderId="2" xfId="0" applyFont="1" applyFill="1" applyBorder="1"/>
    <xf numFmtId="0" fontId="13" fillId="3" borderId="2" xfId="0" applyFont="1" applyFill="1" applyBorder="1" applyAlignment="1">
      <alignment horizontal="center"/>
    </xf>
    <xf numFmtId="9" fontId="13" fillId="3" borderId="2" xfId="1" applyFont="1" applyFill="1" applyBorder="1" applyAlignment="1">
      <alignment horizontal="center"/>
    </xf>
    <xf numFmtId="3" fontId="13" fillId="3" borderId="2" xfId="0" applyNumberFormat="1" applyFont="1" applyFill="1" applyBorder="1" applyAlignment="1">
      <alignment horizontal="center"/>
    </xf>
    <xf numFmtId="0" fontId="3" fillId="4" borderId="1" xfId="0" applyFont="1" applyFill="1" applyBorder="1" applyAlignment="1">
      <alignment horizontal="left" vertical="top" wrapText="1"/>
    </xf>
    <xf numFmtId="0" fontId="11" fillId="0" borderId="2" xfId="0" applyFont="1" applyBorder="1" applyAlignment="1">
      <alignment wrapText="1"/>
    </xf>
    <xf numFmtId="2" fontId="11" fillId="0" borderId="2" xfId="0" applyNumberFormat="1" applyFont="1" applyBorder="1"/>
    <xf numFmtId="0" fontId="10" fillId="0" borderId="2" xfId="0" applyFont="1" applyBorder="1"/>
    <xf numFmtId="0" fontId="0" fillId="0" borderId="0" xfId="0" applyAlignment="1">
      <alignment wrapText="1"/>
    </xf>
    <xf numFmtId="0" fontId="11" fillId="0" borderId="0" xfId="0" applyFont="1"/>
    <xf numFmtId="166" fontId="0" fillId="0" borderId="0" xfId="0" applyNumberFormat="1"/>
    <xf numFmtId="10" fontId="0" fillId="0" borderId="0" xfId="0" applyNumberFormat="1"/>
    <xf numFmtId="0" fontId="2" fillId="0" borderId="0" xfId="0" applyFont="1"/>
    <xf numFmtId="0" fontId="5" fillId="0" borderId="0" xfId="0" applyFont="1" applyAlignment="1">
      <alignment horizontal="left" vertical="top" wrapText="1"/>
    </xf>
    <xf numFmtId="9" fontId="0" fillId="0" borderId="0" xfId="0" applyNumberFormat="1"/>
    <xf numFmtId="9" fontId="11" fillId="0" borderId="2" xfId="1" applyFont="1" applyFill="1" applyBorder="1" applyAlignment="1">
      <alignment horizontal="center"/>
    </xf>
    <xf numFmtId="3" fontId="10" fillId="2" borderId="2" xfId="0" applyNumberFormat="1" applyFont="1" applyFill="1" applyBorder="1" applyAlignment="1">
      <alignment horizontal="center"/>
    </xf>
    <xf numFmtId="9" fontId="10" fillId="2" borderId="2" xfId="1" applyFont="1" applyFill="1" applyBorder="1" applyAlignment="1">
      <alignment horizontal="center"/>
    </xf>
    <xf numFmtId="3" fontId="11" fillId="2" borderId="2" xfId="0" applyNumberFormat="1" applyFont="1" applyFill="1" applyBorder="1" applyAlignment="1">
      <alignment horizontal="center"/>
    </xf>
    <xf numFmtId="9" fontId="11" fillId="2" borderId="2" xfId="1" applyFont="1" applyFill="1" applyBorder="1" applyAlignment="1">
      <alignment horizontal="center"/>
    </xf>
    <xf numFmtId="0" fontId="0" fillId="2" borderId="0" xfId="0" applyFill="1"/>
    <xf numFmtId="165" fontId="7" fillId="4" borderId="2" xfId="0" applyNumberFormat="1" applyFont="1" applyFill="1" applyBorder="1" applyAlignment="1">
      <alignment horizontal="left" vertical="top" wrapText="1"/>
    </xf>
    <xf numFmtId="9" fontId="0" fillId="0" borderId="0" xfId="1" applyFont="1"/>
    <xf numFmtId="0" fontId="14" fillId="4" borderId="2" xfId="0" applyFont="1" applyFill="1" applyBorder="1" applyAlignment="1">
      <alignment horizontal="left" vertical="top" wrapText="1"/>
    </xf>
    <xf numFmtId="164" fontId="14" fillId="4" borderId="2" xfId="0" applyNumberFormat="1" applyFont="1" applyFill="1" applyBorder="1" applyAlignment="1">
      <alignment horizontal="left" vertical="top" wrapText="1"/>
    </xf>
    <xf numFmtId="0" fontId="21" fillId="4" borderId="2" xfId="0" applyFont="1" applyFill="1" applyBorder="1" applyAlignment="1">
      <alignment horizontal="left" vertical="top" wrapText="1"/>
    </xf>
    <xf numFmtId="165" fontId="1" fillId="4" borderId="52" xfId="0" applyNumberFormat="1" applyFont="1" applyFill="1" applyBorder="1" applyAlignment="1">
      <alignment horizontal="center" vertical="top" wrapText="1"/>
    </xf>
    <xf numFmtId="165" fontId="1" fillId="4" borderId="51" xfId="0" applyNumberFormat="1" applyFont="1" applyFill="1" applyBorder="1" applyAlignment="1">
      <alignment horizontal="center" vertical="top" wrapText="1"/>
    </xf>
    <xf numFmtId="9" fontId="1" fillId="4" borderId="51" xfId="1" applyFont="1" applyFill="1" applyBorder="1" applyAlignment="1">
      <alignment horizontal="center" vertical="top"/>
    </xf>
    <xf numFmtId="3" fontId="3" fillId="4" borderId="51" xfId="0" applyNumberFormat="1" applyFont="1" applyFill="1" applyBorder="1" applyAlignment="1">
      <alignment horizontal="center" vertical="top"/>
    </xf>
    <xf numFmtId="0" fontId="3" fillId="0" borderId="0" xfId="0" applyFont="1"/>
    <xf numFmtId="1" fontId="11" fillId="0" borderId="2" xfId="0" applyNumberFormat="1" applyFont="1" applyBorder="1" applyAlignment="1">
      <alignment horizontal="center"/>
    </xf>
    <xf numFmtId="0" fontId="25" fillId="2" borderId="0" xfId="0" applyFont="1" applyFill="1"/>
    <xf numFmtId="0" fontId="1" fillId="4" borderId="33" xfId="0" applyFont="1" applyFill="1" applyBorder="1" applyAlignment="1">
      <alignment horizontal="center" vertical="center" wrapText="1"/>
    </xf>
    <xf numFmtId="0" fontId="1" fillId="4" borderId="3" xfId="0" applyFont="1" applyFill="1" applyBorder="1" applyAlignment="1">
      <alignment horizontal="center" vertical="center" wrapText="1"/>
    </xf>
    <xf numFmtId="2" fontId="1" fillId="4" borderId="2" xfId="0" applyNumberFormat="1" applyFont="1" applyFill="1" applyBorder="1" applyAlignment="1">
      <alignment horizontal="center" vertical="center" wrapText="1"/>
    </xf>
    <xf numFmtId="1" fontId="1" fillId="4" borderId="2" xfId="0" applyNumberFormat="1" applyFont="1" applyFill="1" applyBorder="1" applyAlignment="1">
      <alignment horizontal="center" vertical="center" wrapText="1"/>
    </xf>
    <xf numFmtId="1" fontId="1" fillId="4" borderId="3" xfId="0" applyNumberFormat="1" applyFont="1" applyFill="1" applyBorder="1" applyAlignment="1">
      <alignment horizontal="center" vertical="center" wrapText="1"/>
    </xf>
    <xf numFmtId="0" fontId="3" fillId="4" borderId="2" xfId="0" applyFont="1" applyFill="1" applyBorder="1" applyAlignment="1">
      <alignment horizontal="left"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3" fillId="4" borderId="9" xfId="0" applyFont="1" applyFill="1" applyBorder="1" applyAlignment="1">
      <alignment horizontal="left" vertical="top" wrapText="1"/>
    </xf>
    <xf numFmtId="2" fontId="3" fillId="4" borderId="2" xfId="0" applyNumberFormat="1" applyFont="1" applyFill="1" applyBorder="1" applyAlignment="1">
      <alignment horizontal="left" vertical="top" wrapText="1"/>
    </xf>
    <xf numFmtId="2" fontId="3" fillId="4" borderId="8" xfId="0" applyNumberFormat="1" applyFont="1" applyFill="1" applyBorder="1" applyAlignment="1">
      <alignment horizontal="left" vertical="top" wrapText="1"/>
    </xf>
    <xf numFmtId="2" fontId="3" fillId="4" borderId="9" xfId="0" applyNumberFormat="1" applyFont="1" applyFill="1" applyBorder="1" applyAlignment="1">
      <alignment horizontal="left" vertical="top" wrapText="1"/>
    </xf>
    <xf numFmtId="2" fontId="3" fillId="4" borderId="1" xfId="0" applyNumberFormat="1" applyFont="1" applyFill="1" applyBorder="1" applyAlignment="1">
      <alignment horizontal="left" vertical="top" wrapText="1"/>
    </xf>
    <xf numFmtId="2" fontId="21" fillId="4" borderId="2" xfId="0" applyNumberFormat="1" applyFont="1" applyFill="1" applyBorder="1" applyAlignment="1">
      <alignment horizontal="left" vertical="top" wrapText="1"/>
    </xf>
    <xf numFmtId="2" fontId="21" fillId="4" borderId="9" xfId="0" applyNumberFormat="1" applyFont="1" applyFill="1" applyBorder="1" applyAlignment="1">
      <alignment horizontal="left" vertical="top" wrapText="1"/>
    </xf>
    <xf numFmtId="0" fontId="21" fillId="4" borderId="9" xfId="0" applyFont="1" applyFill="1" applyBorder="1" applyAlignment="1">
      <alignment horizontal="left" vertical="top" wrapText="1"/>
    </xf>
    <xf numFmtId="2" fontId="1" fillId="4" borderId="8" xfId="0" applyNumberFormat="1" applyFont="1" applyFill="1" applyBorder="1" applyAlignment="1">
      <alignment horizontal="left" vertical="top" wrapText="1"/>
    </xf>
    <xf numFmtId="2" fontId="20" fillId="4" borderId="8" xfId="0" applyNumberFormat="1" applyFont="1" applyFill="1" applyBorder="1" applyAlignment="1">
      <alignment horizontal="left" vertical="top" wrapText="1"/>
    </xf>
    <xf numFmtId="2" fontId="20" fillId="4" borderId="9" xfId="0" applyNumberFormat="1" applyFont="1" applyFill="1" applyBorder="1" applyAlignment="1">
      <alignment horizontal="left" vertical="top" wrapText="1"/>
    </xf>
    <xf numFmtId="2" fontId="3" fillId="4" borderId="8" xfId="0" applyNumberFormat="1" applyFont="1" applyFill="1" applyBorder="1" applyAlignment="1">
      <alignment vertical="top" wrapText="1"/>
    </xf>
    <xf numFmtId="2" fontId="28" fillId="4" borderId="9" xfId="0" applyNumberFormat="1" applyFont="1" applyFill="1" applyBorder="1" applyAlignment="1">
      <alignment vertical="top" wrapText="1"/>
    </xf>
    <xf numFmtId="2" fontId="28" fillId="4" borderId="1" xfId="0" applyNumberFormat="1" applyFont="1" applyFill="1" applyBorder="1" applyAlignment="1">
      <alignment vertical="top" wrapText="1"/>
    </xf>
    <xf numFmtId="2" fontId="29" fillId="4" borderId="9" xfId="0" applyNumberFormat="1" applyFont="1" applyFill="1" applyBorder="1" applyAlignment="1">
      <alignment horizontal="left" vertical="top" wrapText="1"/>
    </xf>
    <xf numFmtId="0" fontId="20" fillId="4" borderId="8" xfId="0" applyFont="1" applyFill="1" applyBorder="1" applyAlignment="1">
      <alignment horizontal="left" vertical="top" wrapText="1"/>
    </xf>
    <xf numFmtId="0" fontId="3" fillId="4" borderId="50" xfId="0" applyFont="1" applyFill="1" applyBorder="1" applyAlignment="1">
      <alignment horizontal="left" vertical="top" wrapText="1"/>
    </xf>
    <xf numFmtId="0" fontId="20" fillId="4" borderId="49" xfId="0" applyFont="1" applyFill="1" applyBorder="1" applyAlignment="1">
      <alignment horizontal="left" vertical="top" wrapText="1"/>
    </xf>
    <xf numFmtId="0" fontId="20" fillId="4"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4" borderId="9" xfId="0" applyFont="1" applyFill="1" applyBorder="1" applyAlignment="1">
      <alignment horizontal="center" vertical="top" wrapText="1"/>
    </xf>
    <xf numFmtId="0" fontId="3" fillId="4" borderId="2" xfId="0" applyFont="1" applyFill="1" applyBorder="1" applyAlignment="1">
      <alignment horizontal="left" vertical="top"/>
    </xf>
    <xf numFmtId="0" fontId="3" fillId="4" borderId="40"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53" xfId="0" applyFont="1" applyFill="1" applyBorder="1" applyAlignment="1">
      <alignment horizontal="left" vertical="top" wrapText="1"/>
    </xf>
    <xf numFmtId="0" fontId="25" fillId="4" borderId="54" xfId="0" applyFont="1" applyFill="1" applyBorder="1" applyAlignment="1">
      <alignment horizontal="left" vertical="top"/>
    </xf>
    <xf numFmtId="0" fontId="25" fillId="4" borderId="54" xfId="0" applyFont="1" applyFill="1" applyBorder="1" applyAlignment="1">
      <alignment horizontal="left" vertical="top" wrapText="1"/>
    </xf>
    <xf numFmtId="0" fontId="3" fillId="4" borderId="54" xfId="0" applyFont="1" applyFill="1" applyBorder="1" applyAlignment="1">
      <alignment horizontal="left" vertical="top" wrapText="1"/>
    </xf>
    <xf numFmtId="1" fontId="2" fillId="2" borderId="0" xfId="0" applyNumberFormat="1" applyFont="1" applyFill="1" applyAlignment="1">
      <alignment horizontal="left" vertical="top" wrapText="1"/>
    </xf>
    <xf numFmtId="0" fontId="26" fillId="4" borderId="17" xfId="0" applyFont="1" applyFill="1" applyBorder="1" applyAlignment="1">
      <alignment horizontal="center" vertical="top"/>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29" xfId="0" applyFont="1" applyFill="1" applyBorder="1" applyAlignment="1">
      <alignment horizontal="center"/>
    </xf>
    <xf numFmtId="0" fontId="7" fillId="4" borderId="7"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3" fontId="7" fillId="4" borderId="2" xfId="0" applyNumberFormat="1" applyFont="1" applyFill="1" applyBorder="1" applyAlignment="1">
      <alignment horizontal="left" vertical="top" wrapText="1"/>
    </xf>
    <xf numFmtId="3" fontId="7" fillId="4" borderId="2" xfId="2" applyNumberFormat="1" applyFont="1" applyFill="1" applyBorder="1" applyAlignment="1">
      <alignment horizontal="left" vertical="top" wrapText="1"/>
    </xf>
    <xf numFmtId="1" fontId="7" fillId="4" borderId="2" xfId="1" applyNumberFormat="1" applyFont="1" applyFill="1" applyBorder="1" applyAlignment="1">
      <alignment horizontal="center" vertical="top" wrapText="1"/>
    </xf>
    <xf numFmtId="3" fontId="7" fillId="4" borderId="15" xfId="0" applyNumberFormat="1" applyFont="1" applyFill="1" applyBorder="1" applyAlignment="1">
      <alignment horizontal="center" vertical="top"/>
    </xf>
    <xf numFmtId="3" fontId="7" fillId="4" borderId="22" xfId="0" applyNumberFormat="1" applyFont="1" applyFill="1" applyBorder="1" applyAlignment="1">
      <alignment horizontal="center" vertical="top"/>
    </xf>
    <xf numFmtId="0" fontId="7" fillId="4" borderId="2" xfId="2" applyFont="1" applyFill="1" applyBorder="1" applyAlignment="1">
      <alignment horizontal="left" vertical="top" wrapText="1"/>
    </xf>
    <xf numFmtId="0" fontId="7" fillId="4" borderId="2" xfId="0" applyFont="1" applyFill="1" applyBorder="1" applyAlignment="1">
      <alignment horizontal="center" vertical="top" wrapText="1"/>
    </xf>
    <xf numFmtId="0" fontId="7" fillId="4" borderId="9" xfId="0" applyFont="1" applyFill="1" applyBorder="1" applyAlignment="1">
      <alignment horizontal="left" vertical="top" wrapText="1"/>
    </xf>
    <xf numFmtId="2" fontId="7" fillId="4" borderId="2" xfId="0" applyNumberFormat="1" applyFont="1" applyFill="1" applyBorder="1" applyAlignment="1">
      <alignment horizontal="left" vertical="top" wrapText="1" shrinkToFit="1"/>
    </xf>
    <xf numFmtId="2" fontId="7" fillId="4" borderId="2" xfId="0" applyNumberFormat="1" applyFont="1" applyFill="1" applyBorder="1" applyAlignment="1">
      <alignment horizontal="left" vertical="top" wrapText="1"/>
    </xf>
    <xf numFmtId="165" fontId="7" fillId="4" borderId="9" xfId="0" applyNumberFormat="1" applyFont="1" applyFill="1" applyBorder="1" applyAlignment="1">
      <alignment horizontal="left" vertical="top" wrapText="1"/>
    </xf>
    <xf numFmtId="3" fontId="7" fillId="4" borderId="37" xfId="0" applyNumberFormat="1" applyFont="1" applyFill="1" applyBorder="1" applyAlignment="1">
      <alignment horizontal="left" vertical="top" wrapText="1"/>
    </xf>
    <xf numFmtId="2" fontId="7" fillId="4" borderId="2" xfId="2" applyNumberFormat="1" applyFont="1" applyFill="1" applyBorder="1" applyAlignment="1">
      <alignment horizontal="left" vertical="top" wrapText="1"/>
    </xf>
    <xf numFmtId="3" fontId="14" fillId="4" borderId="12" xfId="0" applyNumberFormat="1" applyFont="1" applyFill="1" applyBorder="1" applyAlignment="1">
      <alignment horizontal="center" vertical="top"/>
    </xf>
    <xf numFmtId="3" fontId="7" fillId="4" borderId="23" xfId="0" applyNumberFormat="1" applyFont="1" applyFill="1" applyBorder="1" applyAlignment="1">
      <alignment horizontal="center" vertical="top"/>
    </xf>
    <xf numFmtId="3" fontId="7" fillId="4" borderId="12" xfId="0" applyNumberFormat="1" applyFont="1" applyFill="1" applyBorder="1" applyAlignment="1">
      <alignment horizontal="center" vertical="top"/>
    </xf>
    <xf numFmtId="3" fontId="7" fillId="4" borderId="11" xfId="0" applyNumberFormat="1" applyFont="1" applyFill="1" applyBorder="1" applyAlignment="1">
      <alignment horizontal="center" vertical="top"/>
    </xf>
    <xf numFmtId="1" fontId="7" fillId="4" borderId="2" xfId="0" applyNumberFormat="1" applyFont="1" applyFill="1" applyBorder="1" applyAlignment="1">
      <alignment horizontal="left" vertical="top" wrapText="1"/>
    </xf>
    <xf numFmtId="1" fontId="7" fillId="4" borderId="2" xfId="2" applyNumberFormat="1" applyFont="1" applyFill="1" applyBorder="1" applyAlignment="1">
      <alignment horizontal="left" vertical="top" wrapText="1"/>
    </xf>
    <xf numFmtId="3" fontId="7" fillId="4" borderId="31" xfId="0" applyNumberFormat="1" applyFont="1" applyFill="1" applyBorder="1" applyAlignment="1">
      <alignment horizontal="center" vertical="top"/>
    </xf>
    <xf numFmtId="3" fontId="7" fillId="4" borderId="0" xfId="0" applyNumberFormat="1" applyFont="1" applyFill="1" applyAlignment="1">
      <alignment horizontal="center" vertical="top"/>
    </xf>
    <xf numFmtId="3" fontId="7" fillId="4" borderId="17" xfId="0" applyNumberFormat="1" applyFont="1" applyFill="1" applyBorder="1" applyAlignment="1">
      <alignment horizontal="center" vertical="top"/>
    </xf>
    <xf numFmtId="49" fontId="7" fillId="4" borderId="2" xfId="0" applyNumberFormat="1" applyFont="1" applyFill="1" applyBorder="1" applyAlignment="1">
      <alignment horizontal="left" vertical="top" wrapText="1"/>
    </xf>
    <xf numFmtId="3" fontId="7" fillId="4" borderId="37" xfId="0" applyNumberFormat="1" applyFont="1" applyFill="1" applyBorder="1" applyAlignment="1">
      <alignment horizontal="center" vertical="top"/>
    </xf>
    <xf numFmtId="2" fontId="7" fillId="4" borderId="9" xfId="0" applyNumberFormat="1" applyFont="1" applyFill="1" applyBorder="1" applyAlignment="1">
      <alignment horizontal="left" vertical="top" wrapText="1"/>
    </xf>
    <xf numFmtId="3" fontId="14" fillId="4" borderId="11" xfId="0" applyNumberFormat="1" applyFont="1" applyFill="1" applyBorder="1" applyAlignment="1">
      <alignment horizontal="center" vertical="top"/>
    </xf>
    <xf numFmtId="9" fontId="7" fillId="4" borderId="11" xfId="1" applyFont="1" applyFill="1" applyBorder="1" applyAlignment="1">
      <alignment horizontal="center" vertical="top"/>
    </xf>
    <xf numFmtId="2" fontId="14" fillId="4" borderId="2" xfId="0" applyNumberFormat="1" applyFont="1" applyFill="1" applyBorder="1" applyAlignment="1">
      <alignment horizontal="left" vertical="top" wrapText="1"/>
    </xf>
    <xf numFmtId="0" fontId="14" fillId="4" borderId="2" xfId="2" applyFont="1" applyFill="1" applyBorder="1" applyAlignment="1">
      <alignment horizontal="left" vertical="top" wrapText="1"/>
    </xf>
    <xf numFmtId="0" fontId="14" fillId="4" borderId="2" xfId="0" applyFont="1" applyFill="1" applyBorder="1" applyAlignment="1">
      <alignment horizontal="center" vertical="top" wrapText="1"/>
    </xf>
    <xf numFmtId="2" fontId="14" fillId="4" borderId="8" xfId="0" applyNumberFormat="1" applyFont="1" applyFill="1" applyBorder="1" applyAlignment="1">
      <alignment horizontal="left" vertical="top" wrapText="1"/>
    </xf>
    <xf numFmtId="165" fontId="14" fillId="4" borderId="8" xfId="0" applyNumberFormat="1" applyFont="1" applyFill="1" applyBorder="1" applyAlignment="1">
      <alignment horizontal="left" vertical="top" wrapText="1"/>
    </xf>
    <xf numFmtId="3" fontId="14" fillId="4" borderId="36" xfId="0" applyNumberFormat="1" applyFont="1" applyFill="1" applyBorder="1" applyAlignment="1">
      <alignment horizontal="left" vertical="top" wrapText="1"/>
    </xf>
    <xf numFmtId="3" fontId="14" fillId="4" borderId="21" xfId="0" applyNumberFormat="1" applyFont="1" applyFill="1" applyBorder="1" applyAlignment="1">
      <alignment horizontal="center" vertical="top"/>
    </xf>
    <xf numFmtId="9" fontId="14" fillId="4" borderId="12" xfId="1" applyFont="1" applyFill="1" applyBorder="1" applyAlignment="1">
      <alignment horizontal="center" vertical="top"/>
    </xf>
    <xf numFmtId="2" fontId="14" fillId="4" borderId="9" xfId="0" applyNumberFormat="1" applyFont="1" applyFill="1" applyBorder="1" applyAlignment="1">
      <alignment horizontal="left" vertical="top" wrapText="1"/>
    </xf>
    <xf numFmtId="165" fontId="14" fillId="4" borderId="9" xfId="0" applyNumberFormat="1" applyFont="1" applyFill="1" applyBorder="1" applyAlignment="1">
      <alignment horizontal="left" vertical="top" wrapText="1"/>
    </xf>
    <xf numFmtId="3" fontId="14" fillId="4" borderId="37" xfId="0" applyNumberFormat="1" applyFont="1" applyFill="1" applyBorder="1" applyAlignment="1">
      <alignment horizontal="left" vertical="top" wrapText="1"/>
    </xf>
    <xf numFmtId="3" fontId="14" fillId="4" borderId="22" xfId="0" applyNumberFormat="1" applyFont="1" applyFill="1" applyBorder="1" applyAlignment="1">
      <alignment horizontal="center" vertical="top"/>
    </xf>
    <xf numFmtId="9" fontId="14" fillId="4" borderId="11" xfId="1" applyFont="1" applyFill="1" applyBorder="1" applyAlignment="1">
      <alignment horizontal="center" vertical="top"/>
    </xf>
    <xf numFmtId="3" fontId="7" fillId="4" borderId="21" xfId="0" applyNumberFormat="1" applyFont="1" applyFill="1" applyBorder="1" applyAlignment="1">
      <alignment horizontal="center" vertical="top"/>
    </xf>
    <xf numFmtId="3" fontId="7" fillId="4" borderId="27" xfId="0" applyNumberFormat="1" applyFont="1" applyFill="1" applyBorder="1" applyAlignment="1">
      <alignment horizontal="left" vertical="top" wrapText="1"/>
    </xf>
    <xf numFmtId="9" fontId="7" fillId="4" borderId="18" xfId="1" applyFont="1" applyFill="1" applyBorder="1" applyAlignment="1">
      <alignment horizontal="center" vertical="top"/>
    </xf>
    <xf numFmtId="3" fontId="7" fillId="4" borderId="20" xfId="0" applyNumberFormat="1" applyFont="1" applyFill="1" applyBorder="1" applyAlignment="1">
      <alignment horizontal="center" vertical="top" wrapText="1"/>
    </xf>
    <xf numFmtId="0" fontId="14" fillId="4" borderId="0" xfId="0" applyFont="1" applyFill="1" applyAlignment="1">
      <alignment horizontal="left" vertical="top" wrapText="1"/>
    </xf>
    <xf numFmtId="3" fontId="31" fillId="4" borderId="17" xfId="0" applyNumberFormat="1" applyFont="1" applyFill="1" applyBorder="1" applyAlignment="1">
      <alignment horizontal="center" vertical="top"/>
    </xf>
    <xf numFmtId="3" fontId="31" fillId="4" borderId="31" xfId="0" applyNumberFormat="1" applyFont="1" applyFill="1" applyBorder="1" applyAlignment="1">
      <alignment horizontal="center" vertical="top"/>
    </xf>
    <xf numFmtId="3" fontId="7" fillId="4" borderId="14" xfId="0" applyNumberFormat="1" applyFont="1" applyFill="1" applyBorder="1" applyAlignment="1">
      <alignment horizontal="center" vertical="top"/>
    </xf>
    <xf numFmtId="2" fontId="7" fillId="4" borderId="8" xfId="0" applyNumberFormat="1" applyFont="1" applyFill="1" applyBorder="1" applyAlignment="1">
      <alignment horizontal="left" vertical="top" wrapText="1"/>
    </xf>
    <xf numFmtId="165" fontId="7" fillId="4" borderId="8" xfId="0" applyNumberFormat="1" applyFont="1" applyFill="1" applyBorder="1" applyAlignment="1">
      <alignment horizontal="left" vertical="top" wrapText="1"/>
    </xf>
    <xf numFmtId="3" fontId="7" fillId="4" borderId="36" xfId="0" applyNumberFormat="1" applyFont="1" applyFill="1" applyBorder="1" applyAlignment="1">
      <alignment horizontal="left" vertical="top" wrapText="1"/>
    </xf>
    <xf numFmtId="3" fontId="7" fillId="4" borderId="12" xfId="0" applyNumberFormat="1" applyFont="1" applyFill="1" applyBorder="1" applyAlignment="1">
      <alignment horizontal="center" vertical="top" readingOrder="1"/>
    </xf>
    <xf numFmtId="3" fontId="7" fillId="4" borderId="12" xfId="0" applyNumberFormat="1" applyFont="1" applyFill="1" applyBorder="1" applyAlignment="1">
      <alignment horizontal="center" vertical="top" wrapText="1"/>
    </xf>
    <xf numFmtId="9" fontId="7" fillId="4" borderId="12" xfId="1" applyFont="1" applyFill="1" applyBorder="1" applyAlignment="1">
      <alignment horizontal="center" vertical="top"/>
    </xf>
    <xf numFmtId="2" fontId="7" fillId="4" borderId="2" xfId="0" applyNumberFormat="1" applyFont="1" applyFill="1" applyBorder="1" applyAlignment="1">
      <alignment horizontal="center" vertical="top" wrapText="1"/>
    </xf>
    <xf numFmtId="3" fontId="7" fillId="4" borderId="17" xfId="0" applyNumberFormat="1" applyFont="1" applyFill="1" applyBorder="1" applyAlignment="1">
      <alignment horizontal="center" vertical="top" wrapText="1"/>
    </xf>
    <xf numFmtId="3" fontId="7" fillId="4" borderId="15" xfId="0" applyNumberFormat="1" applyFont="1" applyFill="1" applyBorder="1" applyAlignment="1">
      <alignment horizontal="center" vertical="top" wrapText="1"/>
    </xf>
    <xf numFmtId="3" fontId="7" fillId="4" borderId="20" xfId="0" applyNumberFormat="1" applyFont="1" applyFill="1" applyBorder="1" applyAlignment="1">
      <alignment horizontal="center" vertical="top"/>
    </xf>
    <xf numFmtId="3" fontId="7" fillId="4" borderId="18" xfId="0" applyNumberFormat="1" applyFont="1" applyFill="1" applyBorder="1" applyAlignment="1">
      <alignment horizontal="center" vertical="top" wrapText="1"/>
    </xf>
    <xf numFmtId="3" fontId="7" fillId="4" borderId="19" xfId="0" applyNumberFormat="1" applyFont="1" applyFill="1" applyBorder="1" applyAlignment="1">
      <alignment horizontal="center" vertical="top"/>
    </xf>
    <xf numFmtId="3" fontId="7" fillId="4" borderId="32" xfId="0" applyNumberFormat="1" applyFont="1" applyFill="1" applyBorder="1" applyAlignment="1">
      <alignment horizontal="center" vertical="top"/>
    </xf>
    <xf numFmtId="3" fontId="7" fillId="4" borderId="18" xfId="0" applyNumberFormat="1" applyFont="1" applyFill="1" applyBorder="1" applyAlignment="1">
      <alignment horizontal="center" vertical="top"/>
    </xf>
    <xf numFmtId="3" fontId="7" fillId="4" borderId="11" xfId="0" applyNumberFormat="1" applyFont="1" applyFill="1" applyBorder="1" applyAlignment="1">
      <alignment horizontal="center" vertical="top" wrapText="1"/>
    </xf>
    <xf numFmtId="0" fontId="14" fillId="4" borderId="9" xfId="0" applyFont="1" applyFill="1" applyBorder="1" applyAlignment="1">
      <alignment horizontal="left" vertical="top" wrapText="1"/>
    </xf>
    <xf numFmtId="3" fontId="14" fillId="4" borderId="2" xfId="0" applyNumberFormat="1" applyFont="1" applyFill="1" applyBorder="1" applyAlignment="1">
      <alignment horizontal="left" vertical="top" wrapText="1"/>
    </xf>
    <xf numFmtId="3" fontId="14" fillId="4" borderId="42" xfId="0" applyNumberFormat="1" applyFont="1" applyFill="1" applyBorder="1" applyAlignment="1">
      <alignment horizontal="left" vertical="top" wrapText="1"/>
    </xf>
    <xf numFmtId="3" fontId="14" fillId="4" borderId="18" xfId="0" applyNumberFormat="1" applyFont="1" applyFill="1" applyBorder="1" applyAlignment="1">
      <alignment horizontal="center" vertical="top" wrapText="1"/>
    </xf>
    <xf numFmtId="3" fontId="14" fillId="4" borderId="32" xfId="0" applyNumberFormat="1" applyFont="1" applyFill="1" applyBorder="1" applyAlignment="1">
      <alignment horizontal="center" vertical="top"/>
    </xf>
    <xf numFmtId="3" fontId="14" fillId="4" borderId="55" xfId="0" applyNumberFormat="1" applyFont="1" applyFill="1" applyBorder="1" applyAlignment="1">
      <alignment horizontal="center" vertical="top"/>
    </xf>
    <xf numFmtId="9" fontId="14" fillId="4" borderId="18" xfId="1" applyFont="1" applyFill="1" applyBorder="1" applyAlignment="1">
      <alignment horizontal="center" vertical="top"/>
    </xf>
    <xf numFmtId="3" fontId="14" fillId="4" borderId="18" xfId="0" applyNumberFormat="1" applyFont="1" applyFill="1" applyBorder="1" applyAlignment="1">
      <alignment horizontal="center" vertical="top"/>
    </xf>
    <xf numFmtId="3" fontId="14" fillId="4" borderId="9" xfId="0" applyNumberFormat="1" applyFont="1" applyFill="1" applyBorder="1" applyAlignment="1">
      <alignment horizontal="left" vertical="top" wrapText="1"/>
    </xf>
    <xf numFmtId="3" fontId="14" fillId="4" borderId="11" xfId="0" applyNumberFormat="1" applyFont="1" applyFill="1" applyBorder="1" applyAlignment="1">
      <alignment horizontal="center" vertical="top" wrapText="1"/>
    </xf>
    <xf numFmtId="3" fontId="14" fillId="4" borderId="0" xfId="0" applyNumberFormat="1" applyFont="1" applyFill="1" applyAlignment="1">
      <alignment horizontal="center" vertical="top"/>
    </xf>
    <xf numFmtId="1" fontId="7" fillId="4" borderId="21" xfId="0" applyNumberFormat="1" applyFont="1" applyFill="1" applyBorder="1" applyAlignment="1">
      <alignment horizontal="center" vertical="top"/>
    </xf>
    <xf numFmtId="1" fontId="26" fillId="4" borderId="22" xfId="0" applyNumberFormat="1" applyFont="1" applyFill="1" applyBorder="1" applyAlignment="1">
      <alignment horizontal="center" vertical="top"/>
    </xf>
    <xf numFmtId="3" fontId="7" fillId="4" borderId="30" xfId="0" applyNumberFormat="1" applyFont="1" applyFill="1" applyBorder="1" applyAlignment="1">
      <alignment horizontal="left" vertical="top" wrapText="1"/>
    </xf>
    <xf numFmtId="9" fontId="7" fillId="4" borderId="22" xfId="1" applyFont="1" applyFill="1" applyBorder="1" applyAlignment="1">
      <alignment horizontal="center" vertical="top"/>
    </xf>
    <xf numFmtId="3" fontId="7" fillId="4" borderId="14" xfId="0" applyNumberFormat="1" applyFont="1" applyFill="1" applyBorder="1" applyAlignment="1">
      <alignment horizontal="center" vertical="top" wrapText="1"/>
    </xf>
    <xf numFmtId="3" fontId="7" fillId="4" borderId="19" xfId="0" applyNumberFormat="1" applyFont="1" applyFill="1" applyBorder="1" applyAlignment="1">
      <alignment horizontal="center" vertical="top" wrapText="1"/>
    </xf>
    <xf numFmtId="3" fontId="7" fillId="4" borderId="48" xfId="0" applyNumberFormat="1" applyFont="1" applyFill="1" applyBorder="1" applyAlignment="1">
      <alignment horizontal="left" vertical="top" wrapText="1"/>
    </xf>
    <xf numFmtId="9" fontId="7" fillId="4" borderId="21" xfId="1" applyFont="1" applyFill="1" applyBorder="1" applyAlignment="1">
      <alignment horizontal="center" vertical="top"/>
    </xf>
    <xf numFmtId="2" fontId="7" fillId="4" borderId="1" xfId="0" applyNumberFormat="1" applyFont="1" applyFill="1" applyBorder="1" applyAlignment="1">
      <alignment horizontal="left" vertical="top" wrapText="1"/>
    </xf>
    <xf numFmtId="165" fontId="7" fillId="4" borderId="1" xfId="0" applyNumberFormat="1" applyFont="1" applyFill="1" applyBorder="1" applyAlignment="1">
      <alignment horizontal="left" vertical="top" wrapText="1"/>
    </xf>
    <xf numFmtId="3" fontId="7" fillId="4" borderId="29" xfId="0" applyNumberFormat="1" applyFont="1" applyFill="1" applyBorder="1" applyAlignment="1">
      <alignment horizontal="left" vertical="top" wrapText="1"/>
    </xf>
    <xf numFmtId="9" fontId="7" fillId="4" borderId="31" xfId="1" applyFont="1" applyFill="1" applyBorder="1" applyAlignment="1">
      <alignment horizontal="center" vertical="top"/>
    </xf>
    <xf numFmtId="4" fontId="7" fillId="4" borderId="22" xfId="0" applyNumberFormat="1" applyFont="1" applyFill="1" applyBorder="1" applyAlignment="1">
      <alignment horizontal="center" vertical="top"/>
    </xf>
    <xf numFmtId="0" fontId="7" fillId="4" borderId="22" xfId="0" applyFont="1" applyFill="1" applyBorder="1" applyAlignment="1">
      <alignment horizontal="center" vertical="top"/>
    </xf>
    <xf numFmtId="3" fontId="7" fillId="4" borderId="21" xfId="0" applyNumberFormat="1" applyFont="1" applyFill="1" applyBorder="1" applyAlignment="1">
      <alignment horizontal="center" vertical="top" readingOrder="1"/>
    </xf>
    <xf numFmtId="0" fontId="26" fillId="4" borderId="31" xfId="0" applyFont="1" applyFill="1" applyBorder="1" applyAlignment="1">
      <alignment horizontal="center" vertical="top"/>
    </xf>
    <xf numFmtId="0" fontId="26" fillId="4" borderId="22" xfId="0" applyFont="1" applyFill="1" applyBorder="1" applyAlignment="1">
      <alignment horizontal="center" vertical="top"/>
    </xf>
    <xf numFmtId="0" fontId="26" fillId="4" borderId="11" xfId="0" applyFont="1" applyFill="1" applyBorder="1" applyAlignment="1">
      <alignment horizontal="center" vertical="top"/>
    </xf>
    <xf numFmtId="0" fontId="7" fillId="4" borderId="8" xfId="0" applyFont="1" applyFill="1" applyBorder="1" applyAlignment="1">
      <alignment vertical="top" wrapText="1"/>
    </xf>
    <xf numFmtId="0" fontId="7" fillId="4" borderId="8" xfId="0" applyFont="1" applyFill="1" applyBorder="1" applyAlignment="1">
      <alignment horizontal="left" vertical="top" wrapText="1"/>
    </xf>
    <xf numFmtId="0" fontId="7" fillId="4" borderId="2" xfId="0" applyFont="1" applyFill="1" applyBorder="1" applyAlignment="1">
      <alignment vertical="top" wrapText="1"/>
    </xf>
    <xf numFmtId="0" fontId="7" fillId="4" borderId="8" xfId="2" applyFont="1" applyFill="1" applyBorder="1" applyAlignment="1">
      <alignment vertical="top" wrapText="1"/>
    </xf>
    <xf numFmtId="0" fontId="32" fillId="4" borderId="9" xfId="0" applyFont="1" applyFill="1" applyBorder="1" applyAlignment="1">
      <alignment horizontal="left" vertical="top" wrapText="1"/>
    </xf>
    <xf numFmtId="3" fontId="7" fillId="4" borderId="22" xfId="0" applyNumberFormat="1" applyFont="1" applyFill="1" applyBorder="1" applyAlignment="1">
      <alignment horizontal="center" vertical="top" wrapText="1"/>
    </xf>
    <xf numFmtId="0" fontId="14" fillId="4" borderId="8" xfId="0" applyFont="1" applyFill="1" applyBorder="1" applyAlignment="1">
      <alignment horizontal="left" vertical="top" wrapText="1"/>
    </xf>
    <xf numFmtId="3" fontId="14" fillId="4" borderId="12" xfId="0" applyNumberFormat="1" applyFont="1" applyFill="1" applyBorder="1" applyAlignment="1">
      <alignment horizontal="center" vertical="top" wrapText="1"/>
    </xf>
    <xf numFmtId="0" fontId="26" fillId="4" borderId="21" xfId="0" applyFont="1" applyFill="1" applyBorder="1" applyAlignment="1">
      <alignment horizontal="center" vertical="top"/>
    </xf>
    <xf numFmtId="0" fontId="26" fillId="4" borderId="12" xfId="0" applyFont="1" applyFill="1" applyBorder="1" applyAlignment="1">
      <alignment horizontal="center" vertical="top"/>
    </xf>
    <xf numFmtId="3" fontId="7" fillId="4" borderId="45" xfId="0" applyNumberFormat="1" applyFont="1" applyFill="1" applyBorder="1" applyAlignment="1">
      <alignment horizontal="center" vertical="top" wrapText="1"/>
    </xf>
    <xf numFmtId="3" fontId="7" fillId="4" borderId="7" xfId="0" applyNumberFormat="1" applyFont="1" applyFill="1" applyBorder="1" applyAlignment="1">
      <alignment horizontal="center" vertical="top" wrapText="1"/>
    </xf>
    <xf numFmtId="3" fontId="26" fillId="4" borderId="22" xfId="0" applyNumberFormat="1" applyFont="1" applyFill="1" applyBorder="1" applyAlignment="1">
      <alignment horizontal="center" vertical="top"/>
    </xf>
    <xf numFmtId="3" fontId="7" fillId="4" borderId="42" xfId="0" applyNumberFormat="1" applyFont="1" applyFill="1" applyBorder="1" applyAlignment="1">
      <alignment horizontal="left" vertical="top" wrapText="1"/>
    </xf>
    <xf numFmtId="3" fontId="7" fillId="4" borderId="55" xfId="0" applyNumberFormat="1" applyFont="1" applyFill="1" applyBorder="1" applyAlignment="1">
      <alignment horizontal="center" vertical="top"/>
    </xf>
    <xf numFmtId="9" fontId="14" fillId="4" borderId="42" xfId="1" applyFont="1" applyFill="1" applyBorder="1" applyAlignment="1">
      <alignment horizontal="center" vertical="top"/>
    </xf>
    <xf numFmtId="0" fontId="26" fillId="4" borderId="0" xfId="0" applyFont="1" applyFill="1"/>
    <xf numFmtId="3" fontId="7" fillId="4" borderId="6" xfId="0" applyNumberFormat="1" applyFont="1" applyFill="1" applyBorder="1" applyAlignment="1">
      <alignment horizontal="center" vertical="top" wrapText="1"/>
    </xf>
    <xf numFmtId="3" fontId="7" fillId="4" borderId="21" xfId="0" applyNumberFormat="1" applyFont="1" applyFill="1" applyBorder="1" applyAlignment="1">
      <alignment horizontal="center" vertical="top" wrapText="1"/>
    </xf>
    <xf numFmtId="0" fontId="7" fillId="5" borderId="2" xfId="2" applyFont="1" applyFill="1" applyBorder="1" applyAlignment="1">
      <alignment horizontal="left" vertical="top" wrapText="1"/>
    </xf>
    <xf numFmtId="0" fontId="7" fillId="4" borderId="47" xfId="0" applyFont="1" applyFill="1" applyBorder="1" applyAlignment="1">
      <alignment horizontal="center" vertical="top" wrapText="1"/>
    </xf>
    <xf numFmtId="3" fontId="7" fillId="4" borderId="2" xfId="0" applyNumberFormat="1" applyFont="1" applyFill="1" applyBorder="1" applyAlignment="1">
      <alignment horizontal="center" vertical="top"/>
    </xf>
    <xf numFmtId="165" fontId="7" fillId="4" borderId="2" xfId="0" applyNumberFormat="1" applyFont="1" applyFill="1" applyBorder="1" applyAlignment="1">
      <alignment horizontal="center" vertical="top" wrapText="1"/>
    </xf>
    <xf numFmtId="3" fontId="7" fillId="4" borderId="8" xfId="0" applyNumberFormat="1" applyFont="1" applyFill="1" applyBorder="1" applyAlignment="1">
      <alignment horizontal="left" vertical="top"/>
    </xf>
    <xf numFmtId="3" fontId="7" fillId="4" borderId="36" xfId="0" applyNumberFormat="1" applyFont="1" applyFill="1" applyBorder="1" applyAlignment="1">
      <alignment horizontal="left" vertical="top"/>
    </xf>
    <xf numFmtId="3" fontId="7" fillId="4" borderId="9" xfId="0" applyNumberFormat="1" applyFont="1" applyFill="1" applyBorder="1" applyAlignment="1">
      <alignment horizontal="left" vertical="top"/>
    </xf>
    <xf numFmtId="3" fontId="7" fillId="4" borderId="37" xfId="0" applyNumberFormat="1" applyFont="1" applyFill="1" applyBorder="1" applyAlignment="1">
      <alignment horizontal="left" vertical="top"/>
    </xf>
    <xf numFmtId="9" fontId="7" fillId="4" borderId="17" xfId="0" applyNumberFormat="1" applyFont="1" applyFill="1" applyBorder="1" applyAlignment="1">
      <alignment horizontal="center" vertical="top" wrapText="1"/>
    </xf>
    <xf numFmtId="0" fontId="7" fillId="4" borderId="7" xfId="0" applyFont="1" applyFill="1" applyBorder="1" applyAlignment="1">
      <alignment horizontal="center" vertical="top" wrapText="1"/>
    </xf>
    <xf numFmtId="3" fontId="7" fillId="4" borderId="8" xfId="0" applyNumberFormat="1" applyFont="1" applyFill="1" applyBorder="1" applyAlignment="1">
      <alignment horizontal="left" vertical="top" wrapText="1"/>
    </xf>
    <xf numFmtId="0" fontId="7" fillId="4" borderId="8" xfId="0" applyFont="1" applyFill="1" applyBorder="1" applyAlignment="1">
      <alignment horizontal="center" vertical="top" wrapText="1"/>
    </xf>
    <xf numFmtId="0" fontId="33" fillId="7" borderId="2" xfId="0" applyFont="1" applyFill="1" applyBorder="1" applyAlignment="1">
      <alignment horizontal="right"/>
    </xf>
    <xf numFmtId="0" fontId="33" fillId="7" borderId="2" xfId="0" applyFont="1" applyFill="1" applyBorder="1" applyAlignment="1">
      <alignment horizontal="center" vertical="top"/>
    </xf>
    <xf numFmtId="3" fontId="33" fillId="7" borderId="2" xfId="0" applyNumberFormat="1" applyFont="1" applyFill="1" applyBorder="1" applyAlignment="1">
      <alignment horizontal="center" vertical="top"/>
    </xf>
    <xf numFmtId="9" fontId="33" fillId="7" borderId="2" xfId="1" applyFont="1" applyFill="1" applyBorder="1" applyAlignment="1">
      <alignment horizontal="center" vertical="top"/>
    </xf>
    <xf numFmtId="9" fontId="34" fillId="7" borderId="2" xfId="1" applyFont="1" applyFill="1" applyBorder="1" applyAlignment="1">
      <alignment horizontal="center"/>
    </xf>
    <xf numFmtId="0" fontId="7" fillId="4" borderId="56" xfId="0" applyFont="1" applyFill="1" applyBorder="1" applyAlignment="1">
      <alignment horizontal="center" vertical="top" wrapText="1"/>
    </xf>
    <xf numFmtId="0" fontId="7" fillId="4" borderId="27" xfId="0" applyFont="1" applyFill="1" applyBorder="1" applyAlignment="1">
      <alignment horizontal="center" vertical="top" wrapText="1"/>
    </xf>
    <xf numFmtId="0" fontId="7" fillId="4" borderId="1" xfId="0" applyFont="1" applyFill="1" applyBorder="1" applyAlignment="1">
      <alignment horizontal="center" vertical="top" wrapText="1"/>
    </xf>
    <xf numFmtId="0" fontId="14" fillId="4" borderId="56" xfId="0" applyFont="1" applyFill="1" applyBorder="1" applyAlignment="1">
      <alignment horizontal="left" vertical="top" wrapText="1"/>
    </xf>
    <xf numFmtId="0" fontId="7" fillId="4" borderId="57" xfId="0" applyFont="1" applyFill="1" applyBorder="1" applyAlignment="1">
      <alignment horizontal="center" vertical="top" wrapText="1"/>
    </xf>
    <xf numFmtId="2" fontId="7" fillId="4" borderId="8" xfId="2" applyNumberFormat="1" applyFont="1" applyFill="1" applyBorder="1" applyAlignment="1">
      <alignment horizontal="left" vertical="top" wrapText="1"/>
    </xf>
    <xf numFmtId="2" fontId="7" fillId="4" borderId="1" xfId="2" applyNumberFormat="1" applyFont="1" applyFill="1" applyBorder="1" applyAlignment="1">
      <alignment horizontal="left" vertical="top" wrapText="1"/>
    </xf>
    <xf numFmtId="0" fontId="14" fillId="5" borderId="56" xfId="0" applyFont="1" applyFill="1" applyBorder="1" applyAlignment="1">
      <alignment horizontal="left" vertical="top" wrapText="1"/>
    </xf>
    <xf numFmtId="2" fontId="35" fillId="5" borderId="2" xfId="2" applyNumberFormat="1" applyFont="1" applyFill="1" applyBorder="1" applyAlignment="1">
      <alignment horizontal="left" vertical="top" wrapText="1"/>
    </xf>
    <xf numFmtId="2" fontId="7" fillId="5" borderId="2" xfId="2" applyNumberFormat="1" applyFont="1" applyFill="1" applyBorder="1" applyAlignment="1">
      <alignment horizontal="left" vertical="top" wrapText="1"/>
    </xf>
    <xf numFmtId="2" fontId="7" fillId="5" borderId="58" xfId="2" applyNumberFormat="1" applyFont="1" applyFill="1" applyBorder="1" applyAlignment="1">
      <alignment horizontal="left" vertical="top" wrapText="1"/>
    </xf>
    <xf numFmtId="0" fontId="9" fillId="0" borderId="30" xfId="0" applyFont="1" applyFill="1" applyBorder="1" applyAlignment="1">
      <alignment horizontal="center" vertical="top" wrapText="1"/>
    </xf>
    <xf numFmtId="0" fontId="0" fillId="0" borderId="0" xfId="0" applyBorder="1"/>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1" xfId="0" applyFont="1" applyFill="1" applyBorder="1" applyAlignment="1">
      <alignment horizontal="center" vertical="top" wrapText="1"/>
    </xf>
    <xf numFmtId="3" fontId="7" fillId="4" borderId="12" xfId="0" applyNumberFormat="1" applyFont="1" applyFill="1" applyBorder="1" applyAlignment="1">
      <alignment horizontal="center" vertical="top" wrapText="1"/>
    </xf>
    <xf numFmtId="3" fontId="7" fillId="4" borderId="11" xfId="0" applyNumberFormat="1" applyFont="1" applyFill="1" applyBorder="1" applyAlignment="1">
      <alignment horizontal="center" vertical="top" wrapText="1"/>
    </xf>
    <xf numFmtId="3" fontId="7" fillId="4" borderId="17" xfId="0" applyNumberFormat="1" applyFont="1" applyFill="1" applyBorder="1" applyAlignment="1">
      <alignment horizontal="center" vertical="top" wrapText="1"/>
    </xf>
    <xf numFmtId="3" fontId="7" fillId="4" borderId="8" xfId="0" applyNumberFormat="1" applyFont="1" applyFill="1" applyBorder="1" applyAlignment="1">
      <alignment horizontal="left" vertical="top" wrapText="1"/>
    </xf>
    <xf numFmtId="3" fontId="7" fillId="4" borderId="9" xfId="0" applyNumberFormat="1" applyFont="1" applyFill="1" applyBorder="1" applyAlignment="1">
      <alignment horizontal="left" vertical="top" wrapText="1"/>
    </xf>
    <xf numFmtId="3" fontId="7" fillId="4" borderId="1" xfId="0" applyNumberFormat="1" applyFont="1" applyFill="1" applyBorder="1" applyAlignment="1">
      <alignment horizontal="left" vertical="top" wrapText="1"/>
    </xf>
    <xf numFmtId="3" fontId="7" fillId="4" borderId="36" xfId="0" applyNumberFormat="1" applyFont="1" applyFill="1" applyBorder="1" applyAlignment="1">
      <alignment horizontal="left" vertical="top" wrapText="1"/>
    </xf>
    <xf numFmtId="3" fontId="7" fillId="4" borderId="37" xfId="0" applyNumberFormat="1" applyFont="1" applyFill="1" applyBorder="1" applyAlignment="1">
      <alignment horizontal="left" vertical="top" wrapText="1"/>
    </xf>
    <xf numFmtId="3" fontId="7" fillId="4" borderId="5" xfId="0" applyNumberFormat="1" applyFont="1" applyFill="1" applyBorder="1" applyAlignment="1">
      <alignment horizontal="left" vertical="top" wrapText="1"/>
    </xf>
    <xf numFmtId="3" fontId="7" fillId="4" borderId="37" xfId="0" applyNumberFormat="1" applyFont="1" applyFill="1" applyBorder="1" applyAlignment="1">
      <alignment horizontal="left" vertical="top"/>
    </xf>
    <xf numFmtId="3" fontId="7" fillId="4" borderId="5" xfId="0" applyNumberFormat="1" applyFont="1" applyFill="1" applyBorder="1" applyAlignment="1">
      <alignment horizontal="left" vertical="top"/>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1" xfId="0" applyFont="1" applyFill="1" applyBorder="1" applyAlignment="1">
      <alignment horizontal="left" vertical="top" wrapText="1"/>
    </xf>
    <xf numFmtId="9" fontId="7" fillId="4" borderId="12" xfId="1" applyFont="1" applyFill="1" applyBorder="1" applyAlignment="1">
      <alignment horizontal="center" vertical="top"/>
    </xf>
    <xf numFmtId="9" fontId="7" fillId="4" borderId="11" xfId="1" applyFont="1" applyFill="1" applyBorder="1" applyAlignment="1">
      <alignment horizontal="center" vertical="top"/>
    </xf>
    <xf numFmtId="9" fontId="7" fillId="4" borderId="17" xfId="1" applyFont="1" applyFill="1" applyBorder="1" applyAlignment="1">
      <alignment horizontal="center" vertical="top"/>
    </xf>
    <xf numFmtId="165" fontId="7" fillId="4" borderId="8" xfId="0" applyNumberFormat="1" applyFont="1" applyFill="1" applyBorder="1" applyAlignment="1">
      <alignment horizontal="left" vertical="top" wrapText="1"/>
    </xf>
    <xf numFmtId="165" fontId="7" fillId="4" borderId="9" xfId="0" applyNumberFormat="1" applyFont="1" applyFill="1" applyBorder="1" applyAlignment="1">
      <alignment horizontal="left" vertical="top" wrapText="1"/>
    </xf>
    <xf numFmtId="165" fontId="7" fillId="4" borderId="1" xfId="0" applyNumberFormat="1" applyFont="1" applyFill="1" applyBorder="1" applyAlignment="1">
      <alignment horizontal="left" vertical="top" wrapText="1"/>
    </xf>
    <xf numFmtId="0" fontId="14" fillId="4" borderId="2" xfId="0" applyFont="1" applyFill="1" applyBorder="1" applyAlignment="1">
      <alignment horizontal="center" vertical="top" wrapText="1"/>
    </xf>
    <xf numFmtId="3" fontId="7" fillId="4" borderId="11" xfId="0" applyNumberFormat="1" applyFont="1" applyFill="1" applyBorder="1" applyAlignment="1">
      <alignment horizontal="center" vertical="top"/>
    </xf>
    <xf numFmtId="3" fontId="7" fillId="4" borderId="17" xfId="0" applyNumberFormat="1" applyFont="1" applyFill="1" applyBorder="1" applyAlignment="1">
      <alignment horizontal="center" vertical="top"/>
    </xf>
    <xf numFmtId="3" fontId="14" fillId="4" borderId="12" xfId="0" applyNumberFormat="1" applyFont="1" applyFill="1" applyBorder="1" applyAlignment="1">
      <alignment horizontal="center" vertical="top" wrapText="1"/>
    </xf>
    <xf numFmtId="3" fontId="7" fillId="4" borderId="12" xfId="0" applyNumberFormat="1" applyFont="1" applyFill="1" applyBorder="1" applyAlignment="1">
      <alignment horizontal="center" vertical="top" readingOrder="1"/>
    </xf>
    <xf numFmtId="3" fontId="26" fillId="4" borderId="17" xfId="0" applyNumberFormat="1" applyFont="1" applyFill="1" applyBorder="1" applyAlignment="1">
      <alignment horizontal="center" vertical="top"/>
    </xf>
    <xf numFmtId="3" fontId="7" fillId="4" borderId="12" xfId="0" applyNumberFormat="1" applyFont="1" applyFill="1" applyBorder="1" applyAlignment="1">
      <alignment horizontal="center" vertical="top" wrapText="1" readingOrder="1"/>
    </xf>
    <xf numFmtId="0" fontId="26" fillId="4" borderId="17" xfId="0" applyFont="1" applyFill="1" applyBorder="1" applyAlignment="1">
      <alignment horizontal="center" vertical="top" wrapText="1" readingOrder="1"/>
    </xf>
    <xf numFmtId="3" fontId="7" fillId="4" borderId="12" xfId="0" applyNumberFormat="1" applyFont="1" applyFill="1" applyBorder="1" applyAlignment="1">
      <alignment horizontal="center" vertical="top"/>
    </xf>
    <xf numFmtId="3" fontId="26" fillId="4" borderId="11" xfId="0" applyNumberFormat="1" applyFont="1" applyFill="1" applyBorder="1" applyAlignment="1">
      <alignment horizontal="center" vertical="top"/>
    </xf>
    <xf numFmtId="3" fontId="7" fillId="4" borderId="45" xfId="0" applyNumberFormat="1" applyFont="1" applyFill="1" applyBorder="1" applyAlignment="1">
      <alignment horizontal="center" vertical="top" wrapText="1"/>
    </xf>
    <xf numFmtId="3" fontId="7" fillId="4" borderId="46" xfId="0" applyNumberFormat="1" applyFont="1" applyFill="1" applyBorder="1" applyAlignment="1">
      <alignment horizontal="center" vertical="top" wrapText="1"/>
    </xf>
    <xf numFmtId="3" fontId="7" fillId="4" borderId="7" xfId="0" applyNumberFormat="1" applyFont="1" applyFill="1" applyBorder="1" applyAlignment="1">
      <alignment horizontal="center" vertical="top" wrapText="1"/>
    </xf>
    <xf numFmtId="0" fontId="26" fillId="4" borderId="17" xfId="0" applyFont="1" applyFill="1" applyBorder="1" applyAlignment="1">
      <alignment horizontal="center" vertical="top"/>
    </xf>
    <xf numFmtId="0" fontId="26" fillId="4" borderId="11" xfId="0" applyFont="1" applyFill="1" applyBorder="1" applyAlignment="1">
      <alignment horizontal="center" vertical="top"/>
    </xf>
    <xf numFmtId="3" fontId="7" fillId="4" borderId="21" xfId="0" applyNumberFormat="1" applyFont="1" applyFill="1" applyBorder="1" applyAlignment="1">
      <alignment horizontal="center" vertical="top"/>
    </xf>
    <xf numFmtId="3" fontId="7" fillId="4" borderId="31" xfId="0" applyNumberFormat="1" applyFont="1" applyFill="1" applyBorder="1" applyAlignment="1">
      <alignment horizontal="center" vertical="top"/>
    </xf>
    <xf numFmtId="9" fontId="14" fillId="4" borderId="15" xfId="1" applyFont="1" applyFill="1" applyBorder="1" applyAlignment="1">
      <alignment horizontal="center" vertical="top"/>
    </xf>
    <xf numFmtId="9" fontId="14" fillId="4" borderId="20" xfId="1" applyFont="1" applyFill="1" applyBorder="1" applyAlignment="1">
      <alignment horizontal="center" vertical="top"/>
    </xf>
    <xf numFmtId="9" fontId="7" fillId="4" borderId="12" xfId="0" applyNumberFormat="1" applyFont="1" applyFill="1" applyBorder="1" applyAlignment="1">
      <alignment horizontal="center" vertical="top" wrapText="1"/>
    </xf>
    <xf numFmtId="9" fontId="7" fillId="4" borderId="17" xfId="0" applyNumberFormat="1" applyFont="1" applyFill="1" applyBorder="1" applyAlignment="1">
      <alignment horizontal="center" vertical="top" wrapText="1"/>
    </xf>
    <xf numFmtId="9" fontId="7" fillId="4" borderId="11" xfId="0" applyNumberFormat="1" applyFont="1" applyFill="1" applyBorder="1" applyAlignment="1">
      <alignment horizontal="center" vertical="top" wrapText="1"/>
    </xf>
    <xf numFmtId="0" fontId="7" fillId="4" borderId="6"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12" xfId="0" applyFont="1" applyFill="1" applyBorder="1" applyAlignment="1">
      <alignment horizontal="center" vertical="top" wrapText="1"/>
    </xf>
    <xf numFmtId="0" fontId="7" fillId="4" borderId="11" xfId="0" applyFont="1" applyFill="1" applyBorder="1" applyAlignment="1">
      <alignment horizontal="center" vertical="top" wrapText="1"/>
    </xf>
    <xf numFmtId="0" fontId="7" fillId="4" borderId="17" xfId="0" applyFont="1" applyFill="1" applyBorder="1" applyAlignment="1">
      <alignment horizontal="center" vertical="top" wrapText="1"/>
    </xf>
    <xf numFmtId="9" fontId="7" fillId="4" borderId="23" xfId="0" applyNumberFormat="1" applyFont="1" applyFill="1" applyBorder="1" applyAlignment="1">
      <alignment horizontal="center" vertical="top" wrapText="1"/>
    </xf>
    <xf numFmtId="9" fontId="7" fillId="4" borderId="13" xfId="0" applyNumberFormat="1" applyFont="1" applyFill="1" applyBorder="1" applyAlignment="1">
      <alignment horizontal="center" vertical="top" wrapText="1"/>
    </xf>
    <xf numFmtId="0" fontId="7" fillId="4" borderId="23" xfId="0" applyFont="1" applyFill="1" applyBorder="1" applyAlignment="1">
      <alignment horizontal="center" vertical="top" wrapText="1"/>
    </xf>
    <xf numFmtId="0" fontId="7" fillId="4" borderId="13" xfId="0" applyFont="1" applyFill="1" applyBorder="1" applyAlignment="1">
      <alignment horizontal="center" vertical="top" wrapText="1"/>
    </xf>
    <xf numFmtId="3" fontId="7" fillId="4" borderId="37" xfId="0" applyNumberFormat="1" applyFont="1" applyFill="1" applyBorder="1" applyAlignment="1">
      <alignment horizontal="center" vertical="top" wrapText="1"/>
    </xf>
    <xf numFmtId="3" fontId="7" fillId="4" borderId="9" xfId="0" applyNumberFormat="1" applyFont="1" applyFill="1" applyBorder="1" applyAlignment="1">
      <alignment horizontal="center" vertical="top" wrapText="1"/>
    </xf>
    <xf numFmtId="3" fontId="14" fillId="4" borderId="12" xfId="0" applyNumberFormat="1" applyFont="1" applyFill="1" applyBorder="1" applyAlignment="1">
      <alignment horizontal="center" vertical="top"/>
    </xf>
    <xf numFmtId="165" fontId="7" fillId="4" borderId="36" xfId="0" applyNumberFormat="1" applyFont="1" applyFill="1" applyBorder="1" applyAlignment="1">
      <alignment horizontal="left" vertical="top" wrapText="1"/>
    </xf>
    <xf numFmtId="0" fontId="26" fillId="4" borderId="5" xfId="0" applyFont="1" applyFill="1" applyBorder="1" applyAlignment="1">
      <alignment horizontal="left" vertical="top" wrapText="1"/>
    </xf>
    <xf numFmtId="0" fontId="26" fillId="4" borderId="1" xfId="0" applyFont="1" applyFill="1" applyBorder="1" applyAlignment="1">
      <alignment horizontal="left" vertical="top" wrapText="1"/>
    </xf>
    <xf numFmtId="2" fontId="7" fillId="4" borderId="8" xfId="0" applyNumberFormat="1" applyFont="1" applyFill="1" applyBorder="1" applyAlignment="1">
      <alignment horizontal="left" vertical="top" wrapText="1"/>
    </xf>
    <xf numFmtId="2" fontId="7" fillId="4" borderId="9" xfId="0" applyNumberFormat="1" applyFont="1" applyFill="1" applyBorder="1" applyAlignment="1">
      <alignment horizontal="left" vertical="top" wrapText="1"/>
    </xf>
    <xf numFmtId="2" fontId="7" fillId="4" borderId="1" xfId="0" applyNumberFormat="1" applyFont="1" applyFill="1" applyBorder="1" applyAlignment="1">
      <alignment horizontal="left" vertical="top" wrapText="1"/>
    </xf>
    <xf numFmtId="3" fontId="7" fillId="4" borderId="8" xfId="1" applyNumberFormat="1" applyFont="1" applyFill="1" applyBorder="1" applyAlignment="1">
      <alignment horizontal="left" vertical="top"/>
    </xf>
    <xf numFmtId="3" fontId="7" fillId="4" borderId="9" xfId="0" applyNumberFormat="1" applyFont="1" applyFill="1" applyBorder="1" applyAlignment="1">
      <alignment horizontal="left" vertical="top"/>
    </xf>
    <xf numFmtId="3" fontId="7" fillId="4" borderId="1" xfId="0" applyNumberFormat="1" applyFont="1" applyFill="1" applyBorder="1" applyAlignment="1">
      <alignment horizontal="left" vertical="top"/>
    </xf>
    <xf numFmtId="3" fontId="7" fillId="4" borderId="36" xfId="0" applyNumberFormat="1" applyFont="1" applyFill="1" applyBorder="1" applyAlignment="1">
      <alignment horizontal="left" vertical="top"/>
    </xf>
    <xf numFmtId="0" fontId="3" fillId="2" borderId="0" xfId="0" applyFont="1" applyFill="1" applyAlignment="1">
      <alignment horizontal="center" vertical="center" wrapText="1"/>
    </xf>
    <xf numFmtId="3" fontId="1" fillId="4" borderId="39" xfId="0" applyNumberFormat="1" applyFont="1" applyFill="1" applyBorder="1" applyAlignment="1">
      <alignment horizontal="center" vertical="center" wrapText="1"/>
    </xf>
    <xf numFmtId="3" fontId="1" fillId="4" borderId="10" xfId="0" applyNumberFormat="1"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10" xfId="0" applyFont="1" applyFill="1" applyBorder="1" applyAlignment="1">
      <alignment horizontal="center" vertical="center" wrapText="1"/>
    </xf>
    <xf numFmtId="164" fontId="1" fillId="4" borderId="39"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wrapText="1"/>
    </xf>
    <xf numFmtId="2" fontId="3" fillId="4" borderId="8" xfId="0" applyNumberFormat="1" applyFont="1" applyFill="1" applyBorder="1" applyAlignment="1">
      <alignment horizontal="left" vertical="top" wrapText="1"/>
    </xf>
    <xf numFmtId="2" fontId="3" fillId="4" borderId="9" xfId="0" applyNumberFormat="1" applyFont="1" applyFill="1" applyBorder="1" applyAlignment="1">
      <alignment horizontal="left" vertical="top" wrapText="1"/>
    </xf>
    <xf numFmtId="2" fontId="3" fillId="4" borderId="1" xfId="0" applyNumberFormat="1" applyFont="1" applyFill="1" applyBorder="1" applyAlignment="1">
      <alignment horizontal="left" vertical="top" wrapText="1"/>
    </xf>
    <xf numFmtId="2" fontId="27" fillId="6" borderId="9" xfId="0" applyNumberFormat="1" applyFont="1" applyFill="1" applyBorder="1" applyAlignment="1">
      <alignment horizontal="left" vertical="top" wrapText="1"/>
    </xf>
    <xf numFmtId="2" fontId="27" fillId="6" borderId="1" xfId="0" applyNumberFormat="1" applyFont="1" applyFill="1" applyBorder="1" applyAlignment="1">
      <alignment horizontal="left" vertical="top" wrapText="1"/>
    </xf>
    <xf numFmtId="2" fontId="1" fillId="6" borderId="9" xfId="0" applyNumberFormat="1" applyFont="1" applyFill="1" applyBorder="1" applyAlignment="1">
      <alignment horizontal="left" vertical="top" wrapText="1"/>
    </xf>
    <xf numFmtId="2" fontId="1" fillId="6" borderId="1" xfId="0" applyNumberFormat="1" applyFont="1" applyFill="1" applyBorder="1" applyAlignment="1">
      <alignment horizontal="left" vertical="top" wrapText="1"/>
    </xf>
    <xf numFmtId="0" fontId="1" fillId="4" borderId="28"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2" fontId="21" fillId="4" borderId="8" xfId="0" applyNumberFormat="1" applyFont="1" applyFill="1" applyBorder="1" applyAlignment="1">
      <alignment horizontal="left" vertical="top" wrapText="1"/>
    </xf>
    <xf numFmtId="2" fontId="21" fillId="4" borderId="1" xfId="0" applyNumberFormat="1" applyFont="1" applyFill="1" applyBorder="1" applyAlignment="1">
      <alignment horizontal="left" vertical="top" wrapText="1"/>
    </xf>
    <xf numFmtId="2" fontId="14" fillId="4" borderId="8" xfId="0" applyNumberFormat="1" applyFont="1" applyFill="1" applyBorder="1" applyAlignment="1">
      <alignment horizontal="left" vertical="top" wrapText="1"/>
    </xf>
    <xf numFmtId="2" fontId="14" fillId="4" borderId="1" xfId="0" applyNumberFormat="1"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3" fillId="4" borderId="1" xfId="0" applyFont="1" applyFill="1" applyBorder="1" applyAlignment="1">
      <alignment horizontal="left" vertical="top" wrapText="1"/>
    </xf>
    <xf numFmtId="2" fontId="1" fillId="4" borderId="8" xfId="0" applyNumberFormat="1" applyFont="1" applyFill="1" applyBorder="1" applyAlignment="1">
      <alignment horizontal="left" vertical="top" wrapText="1"/>
    </xf>
    <xf numFmtId="2" fontId="1" fillId="4" borderId="9" xfId="0" applyNumberFormat="1" applyFont="1" applyFill="1" applyBorder="1" applyAlignment="1">
      <alignment horizontal="left" vertical="top" wrapText="1"/>
    </xf>
    <xf numFmtId="2" fontId="1" fillId="4" borderId="1" xfId="0" applyNumberFormat="1" applyFont="1" applyFill="1" applyBorder="1" applyAlignment="1">
      <alignment horizontal="left" vertical="top" wrapText="1"/>
    </xf>
    <xf numFmtId="0" fontId="29" fillId="4" borderId="9" xfId="0" applyFont="1" applyFill="1" applyBorder="1" applyAlignment="1">
      <alignment horizontal="left" vertical="top" wrapText="1"/>
    </xf>
    <xf numFmtId="0" fontId="20" fillId="4" borderId="8" xfId="0" applyFont="1" applyFill="1" applyBorder="1" applyAlignment="1">
      <alignment horizontal="left" vertical="top" wrapText="1"/>
    </xf>
    <xf numFmtId="0" fontId="20" fillId="4" borderId="9" xfId="0" applyFont="1" applyFill="1" applyBorder="1" applyAlignment="1">
      <alignment horizontal="left" vertical="top" wrapText="1"/>
    </xf>
    <xf numFmtId="0" fontId="20"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8" xfId="0" applyFont="1" applyFill="1" applyBorder="1" applyAlignment="1">
      <alignment horizontal="center" vertical="top" wrapText="1"/>
    </xf>
    <xf numFmtId="0" fontId="7" fillId="4" borderId="9" xfId="0" applyFont="1" applyFill="1" applyBorder="1" applyAlignment="1">
      <alignment horizontal="center" vertical="top" wrapText="1"/>
    </xf>
    <xf numFmtId="3" fontId="7" fillId="4" borderId="2" xfId="0" applyNumberFormat="1" applyFont="1" applyFill="1" applyBorder="1" applyAlignment="1">
      <alignment horizontal="center" vertical="top"/>
    </xf>
    <xf numFmtId="3" fontId="7" fillId="4" borderId="2" xfId="0" applyNumberFormat="1" applyFont="1" applyFill="1" applyBorder="1" applyAlignment="1">
      <alignment horizontal="left" vertical="top" wrapText="1"/>
    </xf>
    <xf numFmtId="0" fontId="7" fillId="4" borderId="9" xfId="0" applyFont="1" applyFill="1" applyBorder="1" applyAlignment="1">
      <alignment vertical="top" wrapText="1"/>
    </xf>
    <xf numFmtId="9" fontId="7" fillId="4" borderId="18" xfId="1" applyFont="1" applyFill="1" applyBorder="1" applyAlignment="1">
      <alignment horizontal="center" vertical="top"/>
    </xf>
    <xf numFmtId="0" fontId="19" fillId="4" borderId="41" xfId="0" applyFont="1" applyFill="1" applyBorder="1" applyAlignment="1">
      <alignment horizontal="center" vertical="center" wrapText="1"/>
    </xf>
    <xf numFmtId="0" fontId="19" fillId="4" borderId="38" xfId="0" applyFont="1" applyFill="1" applyBorder="1" applyAlignment="1">
      <alignment horizontal="center" vertical="center" wrapText="1"/>
    </xf>
    <xf numFmtId="3" fontId="7" fillId="4" borderId="22" xfId="0" applyNumberFormat="1" applyFont="1" applyFill="1" applyBorder="1" applyAlignment="1">
      <alignment horizontal="center" vertical="top"/>
    </xf>
    <xf numFmtId="2" fontId="7" fillId="4" borderId="50" xfId="0" applyNumberFormat="1" applyFont="1" applyFill="1" applyBorder="1" applyAlignment="1">
      <alignment horizontal="left" vertical="top" wrapText="1"/>
    </xf>
    <xf numFmtId="0" fontId="1" fillId="4" borderId="2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3" xfId="0" applyFont="1" applyFill="1" applyBorder="1" applyAlignment="1">
      <alignment horizontal="center" vertical="center" wrapText="1"/>
    </xf>
    <xf numFmtId="3" fontId="7" fillId="4" borderId="13" xfId="0" applyNumberFormat="1"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25" fillId="4" borderId="1" xfId="0" applyFont="1" applyFill="1" applyBorder="1" applyAlignment="1">
      <alignment horizontal="left" vertical="top" wrapText="1"/>
    </xf>
    <xf numFmtId="0" fontId="32" fillId="4" borderId="9" xfId="0" applyFont="1" applyFill="1" applyBorder="1" applyAlignment="1">
      <alignment horizontal="left" vertical="top" wrapText="1"/>
    </xf>
    <xf numFmtId="2" fontId="35" fillId="4" borderId="2" xfId="0" applyNumberFormat="1" applyFont="1" applyFill="1" applyBorder="1" applyAlignment="1">
      <alignment horizontal="left" vertical="top" wrapText="1"/>
    </xf>
    <xf numFmtId="0" fontId="35" fillId="4" borderId="2" xfId="0" applyFont="1" applyFill="1" applyBorder="1" applyAlignment="1">
      <alignment horizontal="left" vertical="top" wrapText="1"/>
    </xf>
  </cellXfs>
  <cellStyles count="3">
    <cellStyle name="Įprastas" xfId="0" builtinId="0"/>
    <cellStyle name="Normal 2" xfId="2"/>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Ilma Skukauskaitė" id="{EA6A9EC4-0444-400E-B503-1A739060611A}" userId="S::ilma.skukauskaite@finmin.lt::340adebf-2fad-46d6-9e83-1911e4f025c9" providerId="AD"/>
  <person displayName="Edita Petrauskaitė" id="{633BEF04-0E1B-455D-BC99-FB0695637849}" userId="S::edita.petrauskaite@finmin.lt::33470fa5-cda7-48a2-aab0-4981a59d3e91"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55" dT="2023-03-22T08:43:26.40" personId="{633BEF04-0E1B-455D-BC99-FB0695637849}" id="{F37F957F-6F03-45F7-A7B1-A9CCF86F1D9E}">
    <text>88</text>
  </threadedComment>
  <threadedComment ref="Q73" dT="2023-03-22T07:01:33.51" personId="{633BEF04-0E1B-455D-BC99-FB0695637849}" id="{B4D258E9-4D75-4B63-A3C5-907CBC4757AA}">
    <text>43 vnt.</text>
  </threadedComment>
  <threadedComment ref="Q83" dT="2023-03-22T08:35:37.58" personId="{633BEF04-0E1B-455D-BC99-FB0695637849}" id="{72624E01-18D7-4215-BF22-F3363EBBD438}">
    <text>64,9, iš jų 62,8 skatintų rinktis tyrėjo profesiją (2022 m. IV ketv.)</text>
  </threadedComment>
  <threadedComment ref="Q84" dT="2023-03-22T08:36:00.41" personId="{633BEF04-0E1B-455D-BC99-FB0695637849}" id="{DB163C55-CF6F-4328-8FB1-252A50CADD42}">
    <text>75,7, iš jš 39, labai perspektyvu (2022 m. IV ketv.)</text>
  </threadedComment>
  <threadedComment ref="Q91" dT="2023-03-22T08:38:28.56" personId="{633BEF04-0E1B-455D-BC99-FB0695637849}" id="{B0348BB9-20EB-4BD5-84D1-454E46AF7483}">
    <text>PATRAUKLŪS ( sutinku 46,4 proc.); PERSPEKTYVŪS (visiškai sutinku 58,9 proc.) CPVA atlikta apklausa</text>
  </threadedComment>
  <threadedComment ref="Q123" dT="2023-03-22T08:20:08.01" personId="{633BEF04-0E1B-455D-BC99-FB0695637849}" id="{6391ABD8-8821-4D21-B1E6-E402023F4513}">
    <text>58?</text>
  </threadedComment>
  <threadedComment ref="Q162" dT="2023-03-22T07:49:56.35" personId="{633BEF04-0E1B-455D-BC99-FB0695637849}" id="{44FB50D2-32DC-4BD9-A926-6F9715F3DD4E}">
    <text>VRM pateikė pasiekimo reikšmę - 1</text>
  </threadedComment>
</ThreadedComments>
</file>

<file path=xl/threadedComments/threadedComment2.xml><?xml version="1.0" encoding="utf-8"?>
<ThreadedComments xmlns="http://schemas.microsoft.com/office/spreadsheetml/2018/threadedcomments" xmlns:x="http://schemas.openxmlformats.org/spreadsheetml/2006/main">
  <threadedComment ref="H28" dT="2023-03-22T08:07:39.73" personId="{EA6A9EC4-0444-400E-B503-1A739060611A}" id="{612C0784-02C5-41C2-BB3A-02CC2A9062DB}">
    <text>norisi suprasti kodėl toks skirtumas tarp įvertinimo kad planas įvykdytas 100 proc. ir lėšų panaudojimo - 65 proc. Ar tai reiškia kad nusipirko paslaugas už mažiau?</text>
  </threadedComment>
  <threadedComment ref="H34" dT="2023-03-22T08:09:35.90" personId="{EA6A9EC4-0444-400E-B503-1A739060611A}" id="{1B8539AB-350C-4030-BA27-2B91241FE8A3}">
    <text>iš kur gautos viršijančios 2022 planą lėšos? biudžeto?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640"/>
  <sheetViews>
    <sheetView showGridLines="0" tabSelected="1" topLeftCell="Q1" zoomScale="80" zoomScaleNormal="80" workbookViewId="0">
      <pane ySplit="3" topLeftCell="A52" activePane="bottomLeft" state="frozen"/>
      <selection pane="bottomLeft" activeCell="AA51" sqref="AA51:AA58"/>
    </sheetView>
  </sheetViews>
  <sheetFormatPr defaultRowHeight="15.75" x14ac:dyDescent="0.25"/>
  <cols>
    <col min="1" max="1" width="23.7109375" style="2" customWidth="1"/>
    <col min="2" max="2" width="18.85546875" style="2" customWidth="1"/>
    <col min="3" max="3" width="15.28515625" style="2" customWidth="1"/>
    <col min="4" max="4" width="21.28515625" style="2" customWidth="1"/>
    <col min="5" max="5" width="46.5703125" style="2" customWidth="1"/>
    <col min="6" max="6" width="20.28515625" style="2" customWidth="1"/>
    <col min="7" max="7" width="68" style="2" customWidth="1"/>
    <col min="8" max="8" width="13.7109375" style="2" customWidth="1"/>
    <col min="9" max="9" width="22.85546875" style="2" customWidth="1"/>
    <col min="10" max="10" width="24.7109375" style="2" customWidth="1"/>
    <col min="11" max="11" width="20.7109375" style="2" hidden="1" customWidth="1"/>
    <col min="12" max="12" width="21.85546875" style="2" hidden="1" customWidth="1"/>
    <col min="13" max="15" width="21.140625" style="2" hidden="1" customWidth="1"/>
    <col min="16" max="19" width="21.140625" style="2" customWidth="1"/>
    <col min="20" max="20" width="16.28515625" style="2" customWidth="1"/>
    <col min="21" max="21" width="15.42578125" style="2" customWidth="1"/>
    <col min="22" max="22" width="15.7109375" style="46" hidden="1" customWidth="1"/>
    <col min="23" max="23" width="17.5703125" style="1" customWidth="1"/>
    <col min="24" max="24" width="16.5703125" style="1" customWidth="1"/>
    <col min="25" max="26" width="16.5703125" style="1" hidden="1" customWidth="1"/>
    <col min="27" max="27" width="16.5703125" style="1" customWidth="1"/>
    <col min="28" max="28" width="14.7109375" style="1" customWidth="1"/>
    <col min="29" max="29" width="46" style="1" customWidth="1"/>
    <col min="30" max="16384" width="9.140625" style="1"/>
  </cols>
  <sheetData>
    <row r="1" spans="1:29" ht="23.25" customHeight="1" thickBot="1" x14ac:dyDescent="0.3">
      <c r="A1" s="305"/>
      <c r="B1" s="305"/>
      <c r="C1" s="305"/>
      <c r="D1" s="305"/>
      <c r="E1" s="305"/>
      <c r="F1" s="305"/>
      <c r="G1" s="305"/>
      <c r="H1" s="305"/>
      <c r="I1" s="305"/>
      <c r="J1" s="305"/>
      <c r="K1" s="305"/>
      <c r="L1" s="305"/>
      <c r="M1" s="305"/>
      <c r="N1" s="305"/>
      <c r="O1" s="305"/>
      <c r="P1" s="305"/>
      <c r="Q1" s="305"/>
      <c r="R1" s="305"/>
      <c r="S1" s="305"/>
      <c r="T1" s="305"/>
      <c r="U1" s="305"/>
      <c r="V1" s="46" t="s">
        <v>0</v>
      </c>
      <c r="W1" s="48" t="s">
        <v>1</v>
      </c>
      <c r="X1" s="48"/>
      <c r="Y1" s="48"/>
      <c r="Z1" s="48"/>
      <c r="AA1" s="48"/>
      <c r="AB1" s="48"/>
      <c r="AC1" s="48"/>
    </row>
    <row r="2" spans="1:29" ht="27" customHeight="1" x14ac:dyDescent="0.25">
      <c r="A2" s="308" t="s">
        <v>2</v>
      </c>
      <c r="B2" s="308" t="s">
        <v>3</v>
      </c>
      <c r="C2" s="308" t="s">
        <v>4</v>
      </c>
      <c r="D2" s="306" t="s">
        <v>5</v>
      </c>
      <c r="E2" s="308" t="s">
        <v>6</v>
      </c>
      <c r="F2" s="308" t="s">
        <v>7</v>
      </c>
      <c r="G2" s="319" t="s">
        <v>8</v>
      </c>
      <c r="H2" s="321"/>
      <c r="I2" s="321"/>
      <c r="J2" s="321"/>
      <c r="K2" s="321"/>
      <c r="L2" s="321"/>
      <c r="M2" s="321"/>
      <c r="N2" s="321"/>
      <c r="O2" s="320"/>
      <c r="P2" s="49"/>
      <c r="Q2" s="49"/>
      <c r="R2" s="319" t="s">
        <v>9</v>
      </c>
      <c r="S2" s="320"/>
      <c r="T2" s="308" t="s">
        <v>10</v>
      </c>
      <c r="U2" s="310" t="s">
        <v>11</v>
      </c>
      <c r="V2" s="346" t="s">
        <v>12</v>
      </c>
      <c r="W2" s="350" t="s">
        <v>13</v>
      </c>
      <c r="X2" s="356" t="s">
        <v>14</v>
      </c>
      <c r="Y2" s="361" t="s">
        <v>15</v>
      </c>
      <c r="Z2" s="358" t="s">
        <v>16</v>
      </c>
      <c r="AA2" s="354" t="s">
        <v>17</v>
      </c>
      <c r="AB2" s="350" t="s">
        <v>18</v>
      </c>
      <c r="AC2" s="351"/>
    </row>
    <row r="3" spans="1:29" ht="79.5" customHeight="1" thickBot="1" x14ac:dyDescent="0.3">
      <c r="A3" s="309"/>
      <c r="B3" s="309"/>
      <c r="C3" s="309"/>
      <c r="D3" s="307"/>
      <c r="E3" s="309"/>
      <c r="F3" s="309"/>
      <c r="G3" s="50" t="s">
        <v>19</v>
      </c>
      <c r="H3" s="50" t="s">
        <v>20</v>
      </c>
      <c r="I3" s="50" t="s">
        <v>21</v>
      </c>
      <c r="J3" s="51" t="s">
        <v>22</v>
      </c>
      <c r="K3" s="52">
        <v>2016</v>
      </c>
      <c r="L3" s="52">
        <v>2017</v>
      </c>
      <c r="M3" s="52">
        <v>2018</v>
      </c>
      <c r="N3" s="53">
        <v>2019</v>
      </c>
      <c r="O3" s="53">
        <v>2020</v>
      </c>
      <c r="P3" s="53">
        <v>2021</v>
      </c>
      <c r="Q3" s="53">
        <v>2022</v>
      </c>
      <c r="R3" s="53" t="s">
        <v>23</v>
      </c>
      <c r="S3" s="53" t="s">
        <v>24</v>
      </c>
      <c r="T3" s="309"/>
      <c r="U3" s="311"/>
      <c r="V3" s="347"/>
      <c r="W3" s="352"/>
      <c r="X3" s="357"/>
      <c r="Y3" s="362"/>
      <c r="Z3" s="359"/>
      <c r="AA3" s="355"/>
      <c r="AB3" s="352"/>
      <c r="AC3" s="353"/>
    </row>
    <row r="4" spans="1:29" x14ac:dyDescent="0.25">
      <c r="A4" s="20">
        <v>1</v>
      </c>
      <c r="B4" s="20">
        <v>2</v>
      </c>
      <c r="C4" s="20">
        <v>3</v>
      </c>
      <c r="D4" s="20">
        <v>4</v>
      </c>
      <c r="E4" s="88">
        <v>5</v>
      </c>
      <c r="F4" s="88">
        <v>6</v>
      </c>
      <c r="G4" s="88">
        <v>7</v>
      </c>
      <c r="H4" s="88">
        <v>8</v>
      </c>
      <c r="I4" s="88">
        <v>9</v>
      </c>
      <c r="J4" s="89">
        <v>10</v>
      </c>
      <c r="K4" s="89">
        <v>11</v>
      </c>
      <c r="L4" s="89">
        <v>12</v>
      </c>
      <c r="M4" s="89">
        <v>13</v>
      </c>
      <c r="N4" s="88">
        <v>14</v>
      </c>
      <c r="O4" s="88"/>
      <c r="P4" s="88"/>
      <c r="Q4" s="88"/>
      <c r="R4" s="88">
        <v>15</v>
      </c>
      <c r="S4" s="88">
        <v>16</v>
      </c>
      <c r="T4" s="88">
        <v>17</v>
      </c>
      <c r="U4" s="88">
        <v>18</v>
      </c>
      <c r="V4" s="90">
        <v>19</v>
      </c>
      <c r="W4" s="91">
        <v>20</v>
      </c>
      <c r="X4" s="88">
        <v>21</v>
      </c>
      <c r="Y4" s="88"/>
      <c r="Z4" s="88"/>
      <c r="AA4" s="92">
        <v>22</v>
      </c>
      <c r="AB4" s="92">
        <v>23</v>
      </c>
      <c r="AC4" s="93">
        <v>24</v>
      </c>
    </row>
    <row r="5" spans="1:29" ht="82.5" customHeight="1" x14ac:dyDescent="0.25">
      <c r="A5" s="235" t="s">
        <v>25</v>
      </c>
      <c r="B5" s="238" t="s">
        <v>26</v>
      </c>
      <c r="C5" s="322" t="s">
        <v>27</v>
      </c>
      <c r="D5" s="322" t="s">
        <v>28</v>
      </c>
      <c r="E5" s="252" t="s">
        <v>29</v>
      </c>
      <c r="F5" s="252" t="s">
        <v>30</v>
      </c>
      <c r="G5" s="89" t="s">
        <v>31</v>
      </c>
      <c r="H5" s="89" t="s">
        <v>32</v>
      </c>
      <c r="I5" s="89" t="s">
        <v>33</v>
      </c>
      <c r="J5" s="89" t="s">
        <v>34</v>
      </c>
      <c r="K5" s="94">
        <v>137202</v>
      </c>
      <c r="L5" s="94">
        <v>186615</v>
      </c>
      <c r="M5" s="94">
        <v>219645</v>
      </c>
      <c r="N5" s="95">
        <v>2063</v>
      </c>
      <c r="O5" s="95">
        <v>27117</v>
      </c>
      <c r="P5" s="95">
        <v>36375</v>
      </c>
      <c r="Q5" s="95">
        <v>24931</v>
      </c>
      <c r="R5" s="96">
        <v>0</v>
      </c>
      <c r="S5" s="96">
        <v>0</v>
      </c>
      <c r="T5" s="252" t="s">
        <v>35</v>
      </c>
      <c r="U5" s="258">
        <v>897975</v>
      </c>
      <c r="V5" s="247">
        <f>28600+28600</f>
        <v>57200</v>
      </c>
      <c r="W5" s="264">
        <v>28600</v>
      </c>
      <c r="X5" s="241">
        <v>23602.75</v>
      </c>
      <c r="Y5" s="97"/>
      <c r="Z5" s="98">
        <f>X5+Y5</f>
        <v>23602.75</v>
      </c>
      <c r="AA5" s="255">
        <f>Z5/W5</f>
        <v>0.82527097902097901</v>
      </c>
      <c r="AB5" s="241">
        <v>1</v>
      </c>
      <c r="AC5" s="241" t="s">
        <v>36</v>
      </c>
    </row>
    <row r="6" spans="1:29" ht="66" customHeight="1" x14ac:dyDescent="0.25">
      <c r="A6" s="236"/>
      <c r="B6" s="239"/>
      <c r="C6" s="323"/>
      <c r="D6" s="323"/>
      <c r="E6" s="253"/>
      <c r="F6" s="253"/>
      <c r="G6" s="89" t="s">
        <v>37</v>
      </c>
      <c r="H6" s="89" t="s">
        <v>38</v>
      </c>
      <c r="I6" s="89" t="s">
        <v>39</v>
      </c>
      <c r="J6" s="89" t="s">
        <v>40</v>
      </c>
      <c r="K6" s="89" t="s">
        <v>41</v>
      </c>
      <c r="L6" s="89" t="s">
        <v>42</v>
      </c>
      <c r="M6" s="89" t="s">
        <v>43</v>
      </c>
      <c r="N6" s="99" t="s">
        <v>44</v>
      </c>
      <c r="O6" s="99" t="s">
        <v>45</v>
      </c>
      <c r="P6" s="99" t="s">
        <v>46</v>
      </c>
      <c r="Q6" s="99" t="s">
        <v>47</v>
      </c>
      <c r="R6" s="100">
        <v>1</v>
      </c>
      <c r="S6" s="100">
        <v>1</v>
      </c>
      <c r="T6" s="253"/>
      <c r="U6" s="259"/>
      <c r="V6" s="248"/>
      <c r="W6" s="242"/>
      <c r="X6" s="242"/>
      <c r="Y6" s="98"/>
      <c r="Z6" s="98"/>
      <c r="AA6" s="256"/>
      <c r="AB6" s="242"/>
      <c r="AC6" s="242"/>
    </row>
    <row r="7" spans="1:29" ht="51.75" customHeight="1" x14ac:dyDescent="0.25">
      <c r="A7" s="236"/>
      <c r="B7" s="239"/>
      <c r="C7" s="323"/>
      <c r="D7" s="323"/>
      <c r="E7" s="253"/>
      <c r="F7" s="253"/>
      <c r="G7" s="89" t="s">
        <v>48</v>
      </c>
      <c r="H7" s="89" t="s">
        <v>38</v>
      </c>
      <c r="I7" s="89" t="s">
        <v>49</v>
      </c>
      <c r="J7" s="89" t="s">
        <v>50</v>
      </c>
      <c r="K7" s="89"/>
      <c r="L7" s="89"/>
      <c r="M7" s="89"/>
      <c r="N7" s="99" t="s">
        <v>51</v>
      </c>
      <c r="O7" s="99" t="s">
        <v>52</v>
      </c>
      <c r="P7" s="99" t="s">
        <v>53</v>
      </c>
      <c r="Q7" s="99" t="s">
        <v>54</v>
      </c>
      <c r="R7" s="100">
        <v>1</v>
      </c>
      <c r="S7" s="100">
        <v>1</v>
      </c>
      <c r="T7" s="253"/>
      <c r="U7" s="259"/>
      <c r="V7" s="248"/>
      <c r="W7" s="242"/>
      <c r="X7" s="242"/>
      <c r="Y7" s="98"/>
      <c r="Z7" s="98"/>
      <c r="AA7" s="256"/>
      <c r="AB7" s="242"/>
      <c r="AC7" s="242"/>
    </row>
    <row r="8" spans="1:29" ht="53.25" customHeight="1" x14ac:dyDescent="0.25">
      <c r="A8" s="236"/>
      <c r="B8" s="239"/>
      <c r="C8" s="323"/>
      <c r="D8" s="323"/>
      <c r="E8" s="253"/>
      <c r="F8" s="253"/>
      <c r="G8" s="89" t="s">
        <v>55</v>
      </c>
      <c r="H8" s="89" t="s">
        <v>38</v>
      </c>
      <c r="I8" s="89" t="s">
        <v>56</v>
      </c>
      <c r="J8" s="89" t="s">
        <v>57</v>
      </c>
      <c r="K8" s="89" t="s">
        <v>58</v>
      </c>
      <c r="L8" s="89" t="s">
        <v>59</v>
      </c>
      <c r="M8" s="89" t="s">
        <v>60</v>
      </c>
      <c r="N8" s="99" t="s">
        <v>61</v>
      </c>
      <c r="O8" s="99" t="s">
        <v>62</v>
      </c>
      <c r="P8" s="99" t="s">
        <v>63</v>
      </c>
      <c r="Q8" s="99" t="s">
        <v>64</v>
      </c>
      <c r="R8" s="100">
        <v>1</v>
      </c>
      <c r="S8" s="100">
        <v>0</v>
      </c>
      <c r="T8" s="253"/>
      <c r="U8" s="259"/>
      <c r="V8" s="248"/>
      <c r="W8" s="242"/>
      <c r="X8" s="242"/>
      <c r="Y8" s="98"/>
      <c r="Z8" s="98"/>
      <c r="AA8" s="256"/>
      <c r="AB8" s="242"/>
      <c r="AC8" s="242"/>
    </row>
    <row r="9" spans="1:29" ht="117" customHeight="1" x14ac:dyDescent="0.25">
      <c r="A9" s="236"/>
      <c r="B9" s="239"/>
      <c r="C9" s="323"/>
      <c r="D9" s="323"/>
      <c r="E9" s="253"/>
      <c r="F9" s="253"/>
      <c r="G9" s="89" t="s">
        <v>65</v>
      </c>
      <c r="H9" s="89" t="s">
        <v>38</v>
      </c>
      <c r="I9" s="89" t="s">
        <v>66</v>
      </c>
      <c r="J9" s="89" t="s">
        <v>67</v>
      </c>
      <c r="K9" s="89" t="s">
        <v>68</v>
      </c>
      <c r="L9" s="89" t="s">
        <v>69</v>
      </c>
      <c r="M9" s="89" t="s">
        <v>70</v>
      </c>
      <c r="N9" s="99" t="s">
        <v>71</v>
      </c>
      <c r="O9" s="99" t="s">
        <v>72</v>
      </c>
      <c r="P9" s="99" t="s">
        <v>73</v>
      </c>
      <c r="Q9" s="99" t="s">
        <v>74</v>
      </c>
      <c r="R9" s="100">
        <v>1</v>
      </c>
      <c r="S9" s="100">
        <v>1</v>
      </c>
      <c r="T9" s="253"/>
      <c r="U9" s="259"/>
      <c r="V9" s="248"/>
      <c r="W9" s="242"/>
      <c r="X9" s="242"/>
      <c r="Y9" s="98"/>
      <c r="Z9" s="98"/>
      <c r="AA9" s="256"/>
      <c r="AB9" s="242"/>
      <c r="AC9" s="242"/>
    </row>
    <row r="10" spans="1:29" ht="68.25" customHeight="1" x14ac:dyDescent="0.25">
      <c r="A10" s="236"/>
      <c r="B10" s="239"/>
      <c r="C10" s="323"/>
      <c r="D10" s="323"/>
      <c r="E10" s="253"/>
      <c r="F10" s="253"/>
      <c r="G10" s="89" t="s">
        <v>75</v>
      </c>
      <c r="H10" s="89" t="s">
        <v>38</v>
      </c>
      <c r="I10" s="89" t="s">
        <v>76</v>
      </c>
      <c r="J10" s="89" t="s">
        <v>77</v>
      </c>
      <c r="K10" s="89" t="s">
        <v>78</v>
      </c>
      <c r="L10" s="89" t="s">
        <v>79</v>
      </c>
      <c r="M10" s="89" t="s">
        <v>80</v>
      </c>
      <c r="N10" s="99" t="s">
        <v>81</v>
      </c>
      <c r="O10" s="99" t="s">
        <v>82</v>
      </c>
      <c r="P10" s="99" t="s">
        <v>83</v>
      </c>
      <c r="Q10" s="99" t="s">
        <v>84</v>
      </c>
      <c r="R10" s="100">
        <v>1</v>
      </c>
      <c r="S10" s="100">
        <v>1</v>
      </c>
      <c r="T10" s="253"/>
      <c r="U10" s="259"/>
      <c r="V10" s="248"/>
      <c r="W10" s="242"/>
      <c r="X10" s="242"/>
      <c r="Y10" s="98"/>
      <c r="Z10" s="98"/>
      <c r="AA10" s="256"/>
      <c r="AB10" s="242"/>
      <c r="AC10" s="242"/>
    </row>
    <row r="11" spans="1:29" ht="90.75" customHeight="1" thickBot="1" x14ac:dyDescent="0.3">
      <c r="A11" s="236"/>
      <c r="B11" s="239"/>
      <c r="C11" s="58"/>
      <c r="D11" s="58"/>
      <c r="E11" s="101"/>
      <c r="F11" s="101"/>
      <c r="G11" s="102" t="s">
        <v>85</v>
      </c>
      <c r="H11" s="103" t="s">
        <v>38</v>
      </c>
      <c r="I11" s="89" t="s">
        <v>86</v>
      </c>
      <c r="J11" s="103" t="s">
        <v>87</v>
      </c>
      <c r="K11" s="103"/>
      <c r="L11" s="103"/>
      <c r="M11" s="89"/>
      <c r="N11" s="89" t="s">
        <v>86</v>
      </c>
      <c r="O11" s="99" t="s">
        <v>88</v>
      </c>
      <c r="P11" s="99" t="s">
        <v>89</v>
      </c>
      <c r="Q11" s="99" t="s">
        <v>90</v>
      </c>
      <c r="R11" s="100">
        <v>1</v>
      </c>
      <c r="S11" s="100">
        <v>0</v>
      </c>
      <c r="T11" s="101"/>
      <c r="U11" s="104"/>
      <c r="V11" s="105"/>
      <c r="W11" s="243"/>
      <c r="X11" s="360"/>
      <c r="Y11" s="98"/>
      <c r="Z11" s="98"/>
      <c r="AA11" s="257"/>
      <c r="AB11" s="243"/>
      <c r="AC11" s="243"/>
    </row>
    <row r="12" spans="1:29" ht="54.75" customHeight="1" x14ac:dyDescent="0.25">
      <c r="A12" s="236"/>
      <c r="B12" s="239"/>
      <c r="C12" s="322" t="s">
        <v>27</v>
      </c>
      <c r="D12" s="312" t="s">
        <v>91</v>
      </c>
      <c r="E12" s="298" t="s">
        <v>92</v>
      </c>
      <c r="F12" s="298" t="s">
        <v>93</v>
      </c>
      <c r="G12" s="102" t="s">
        <v>94</v>
      </c>
      <c r="H12" s="103" t="s">
        <v>95</v>
      </c>
      <c r="I12" s="103" t="s">
        <v>96</v>
      </c>
      <c r="J12" s="103" t="s">
        <v>97</v>
      </c>
      <c r="K12" s="103" t="s">
        <v>98</v>
      </c>
      <c r="L12" s="103" t="s">
        <v>99</v>
      </c>
      <c r="M12" s="103" t="s">
        <v>100</v>
      </c>
      <c r="N12" s="106" t="s">
        <v>101</v>
      </c>
      <c r="O12" s="106" t="s">
        <v>102</v>
      </c>
      <c r="P12" s="106" t="s">
        <v>103</v>
      </c>
      <c r="Q12" s="106" t="s">
        <v>104</v>
      </c>
      <c r="R12" s="100">
        <v>0</v>
      </c>
      <c r="S12" s="100">
        <v>1</v>
      </c>
      <c r="T12" s="298" t="s">
        <v>35</v>
      </c>
      <c r="U12" s="258">
        <v>477724</v>
      </c>
      <c r="V12" s="247">
        <f>70000+70000</f>
        <v>140000</v>
      </c>
      <c r="W12" s="107">
        <v>70000</v>
      </c>
      <c r="X12" s="108">
        <v>74140.850000000006</v>
      </c>
      <c r="Y12" s="98"/>
      <c r="Z12" s="98">
        <f>X12+Y12</f>
        <v>74140.850000000006</v>
      </c>
      <c r="AA12" s="255">
        <f>Z12/W12</f>
        <v>1.0591550000000001</v>
      </c>
      <c r="AB12" s="109">
        <v>1</v>
      </c>
      <c r="AC12" s="241" t="s">
        <v>105</v>
      </c>
    </row>
    <row r="13" spans="1:29" ht="66" customHeight="1" x14ac:dyDescent="0.25">
      <c r="A13" s="236"/>
      <c r="B13" s="239"/>
      <c r="C13" s="323"/>
      <c r="D13" s="313"/>
      <c r="E13" s="299"/>
      <c r="F13" s="299"/>
      <c r="G13" s="89" t="s">
        <v>106</v>
      </c>
      <c r="H13" s="103" t="s">
        <v>38</v>
      </c>
      <c r="I13" s="103" t="s">
        <v>107</v>
      </c>
      <c r="J13" s="103" t="s">
        <v>108</v>
      </c>
      <c r="K13" s="103" t="s">
        <v>109</v>
      </c>
      <c r="L13" s="103" t="s">
        <v>110</v>
      </c>
      <c r="M13" s="103" t="s">
        <v>111</v>
      </c>
      <c r="N13" s="106" t="s">
        <v>112</v>
      </c>
      <c r="O13" s="106" t="s">
        <v>113</v>
      </c>
      <c r="P13" s="106" t="s">
        <v>114</v>
      </c>
      <c r="Q13" s="106" t="s">
        <v>115</v>
      </c>
      <c r="R13" s="100">
        <v>1</v>
      </c>
      <c r="S13" s="100">
        <v>0</v>
      </c>
      <c r="T13" s="299"/>
      <c r="U13" s="259"/>
      <c r="V13" s="248"/>
      <c r="W13" s="110"/>
      <c r="X13" s="98"/>
      <c r="Y13" s="98"/>
      <c r="Z13" s="98"/>
      <c r="AA13" s="256"/>
      <c r="AB13" s="110"/>
      <c r="AC13" s="242"/>
    </row>
    <row r="14" spans="1:29" ht="63" customHeight="1" x14ac:dyDescent="0.25">
      <c r="A14" s="236"/>
      <c r="B14" s="239"/>
      <c r="C14" s="323"/>
      <c r="D14" s="313"/>
      <c r="E14" s="299"/>
      <c r="F14" s="299"/>
      <c r="G14" s="102" t="s">
        <v>116</v>
      </c>
      <c r="H14" s="103" t="s">
        <v>38</v>
      </c>
      <c r="I14" s="103" t="s">
        <v>117</v>
      </c>
      <c r="J14" s="103" t="s">
        <v>118</v>
      </c>
      <c r="K14" s="103" t="s">
        <v>119</v>
      </c>
      <c r="L14" s="103" t="s">
        <v>120</v>
      </c>
      <c r="M14" s="103" t="s">
        <v>121</v>
      </c>
      <c r="N14" s="106" t="s">
        <v>122</v>
      </c>
      <c r="O14" s="106" t="s">
        <v>123</v>
      </c>
      <c r="P14" s="106" t="s">
        <v>124</v>
      </c>
      <c r="Q14" s="106" t="s">
        <v>125</v>
      </c>
      <c r="R14" s="100">
        <v>1</v>
      </c>
      <c r="S14" s="100">
        <v>1</v>
      </c>
      <c r="T14" s="299"/>
      <c r="U14" s="259"/>
      <c r="V14" s="248"/>
      <c r="W14" s="110"/>
      <c r="X14" s="98"/>
      <c r="Y14" s="98"/>
      <c r="Z14" s="98"/>
      <c r="AA14" s="256"/>
      <c r="AB14" s="110"/>
      <c r="AC14" s="242"/>
    </row>
    <row r="15" spans="1:29" ht="72.75" customHeight="1" x14ac:dyDescent="0.25">
      <c r="A15" s="236"/>
      <c r="B15" s="239"/>
      <c r="C15" s="323"/>
      <c r="D15" s="313"/>
      <c r="E15" s="299"/>
      <c r="F15" s="299"/>
      <c r="G15" s="102" t="s">
        <v>126</v>
      </c>
      <c r="H15" s="103" t="s">
        <v>38</v>
      </c>
      <c r="I15" s="89" t="s">
        <v>127</v>
      </c>
      <c r="J15" s="103" t="s">
        <v>128</v>
      </c>
      <c r="K15" s="103" t="s">
        <v>127</v>
      </c>
      <c r="L15" s="111" t="s">
        <v>129</v>
      </c>
      <c r="M15" s="111" t="s">
        <v>130</v>
      </c>
      <c r="N15" s="112" t="s">
        <v>131</v>
      </c>
      <c r="O15" s="112" t="s">
        <v>132</v>
      </c>
      <c r="P15" s="112" t="s">
        <v>133</v>
      </c>
      <c r="Q15" s="112" t="s">
        <v>134</v>
      </c>
      <c r="R15" s="100" t="s">
        <v>135</v>
      </c>
      <c r="S15" s="100" t="s">
        <v>136</v>
      </c>
      <c r="T15" s="299"/>
      <c r="U15" s="259"/>
      <c r="V15" s="248"/>
      <c r="W15" s="110"/>
      <c r="X15" s="98"/>
      <c r="Y15" s="98"/>
      <c r="Z15" s="98"/>
      <c r="AA15" s="256"/>
      <c r="AB15" s="110"/>
      <c r="AC15" s="242"/>
    </row>
    <row r="16" spans="1:29" ht="90.75" customHeight="1" x14ac:dyDescent="0.25">
      <c r="A16" s="236"/>
      <c r="B16" s="239"/>
      <c r="C16" s="323"/>
      <c r="D16" s="313"/>
      <c r="E16" s="299"/>
      <c r="F16" s="299"/>
      <c r="G16" s="102" t="s">
        <v>137</v>
      </c>
      <c r="H16" s="103" t="s">
        <v>38</v>
      </c>
      <c r="I16" s="89" t="s">
        <v>138</v>
      </c>
      <c r="J16" s="103" t="s">
        <v>139</v>
      </c>
      <c r="K16" s="103" t="s">
        <v>140</v>
      </c>
      <c r="L16" s="103" t="s">
        <v>141</v>
      </c>
      <c r="M16" s="89" t="s">
        <v>142</v>
      </c>
      <c r="N16" s="99" t="s">
        <v>143</v>
      </c>
      <c r="O16" s="99" t="s">
        <v>144</v>
      </c>
      <c r="P16" s="99" t="s">
        <v>145</v>
      </c>
      <c r="Q16" s="99" t="s">
        <v>146</v>
      </c>
      <c r="R16" s="100">
        <v>1</v>
      </c>
      <c r="S16" s="100" t="s">
        <v>147</v>
      </c>
      <c r="T16" s="299"/>
      <c r="U16" s="259"/>
      <c r="V16" s="248"/>
      <c r="W16" s="110"/>
      <c r="X16" s="348"/>
      <c r="Y16" s="113"/>
      <c r="Z16" s="113"/>
      <c r="AA16" s="256"/>
      <c r="AB16" s="262"/>
      <c r="AC16" s="242"/>
    </row>
    <row r="17" spans="1:29" ht="51.75" customHeight="1" x14ac:dyDescent="0.25">
      <c r="A17" s="236"/>
      <c r="B17" s="239"/>
      <c r="C17" s="323"/>
      <c r="D17" s="313"/>
      <c r="E17" s="299"/>
      <c r="F17" s="299"/>
      <c r="G17" s="102" t="s">
        <v>148</v>
      </c>
      <c r="H17" s="103" t="s">
        <v>38</v>
      </c>
      <c r="I17" s="89" t="s">
        <v>149</v>
      </c>
      <c r="J17" s="103" t="s">
        <v>150</v>
      </c>
      <c r="K17" s="103"/>
      <c r="L17" s="103"/>
      <c r="M17" s="89"/>
      <c r="N17" s="99" t="s">
        <v>151</v>
      </c>
      <c r="O17" s="99" t="s">
        <v>152</v>
      </c>
      <c r="P17" s="99" t="s">
        <v>153</v>
      </c>
      <c r="Q17" s="99" t="s">
        <v>125</v>
      </c>
      <c r="R17" s="100">
        <v>1</v>
      </c>
      <c r="S17" s="100">
        <v>1</v>
      </c>
      <c r="T17" s="299"/>
      <c r="U17" s="259"/>
      <c r="V17" s="248"/>
      <c r="W17" s="110"/>
      <c r="X17" s="348"/>
      <c r="Y17" s="114"/>
      <c r="Z17" s="98"/>
      <c r="AA17" s="256"/>
      <c r="AB17" s="262"/>
      <c r="AC17" s="242"/>
    </row>
    <row r="18" spans="1:29" ht="116.25" customHeight="1" x14ac:dyDescent="0.25">
      <c r="A18" s="236"/>
      <c r="B18" s="239"/>
      <c r="C18" s="330"/>
      <c r="D18" s="314"/>
      <c r="E18" s="300"/>
      <c r="F18" s="300"/>
      <c r="G18" s="102" t="s">
        <v>154</v>
      </c>
      <c r="H18" s="103" t="s">
        <v>38</v>
      </c>
      <c r="I18" s="89" t="s">
        <v>155</v>
      </c>
      <c r="J18" s="103" t="s">
        <v>156</v>
      </c>
      <c r="K18" s="103"/>
      <c r="L18" s="103"/>
      <c r="M18" s="89" t="s">
        <v>157</v>
      </c>
      <c r="N18" s="89" t="s">
        <v>158</v>
      </c>
      <c r="O18" s="99" t="s">
        <v>159</v>
      </c>
      <c r="P18" s="99" t="s">
        <v>160</v>
      </c>
      <c r="Q18" s="99" t="s">
        <v>161</v>
      </c>
      <c r="R18" s="100">
        <v>1</v>
      </c>
      <c r="S18" s="100">
        <v>0</v>
      </c>
      <c r="T18" s="300"/>
      <c r="U18" s="260"/>
      <c r="V18" s="249"/>
      <c r="W18" s="115"/>
      <c r="X18" s="277"/>
      <c r="Y18" s="114"/>
      <c r="Z18" s="98"/>
      <c r="AA18" s="257"/>
      <c r="AB18" s="263"/>
      <c r="AC18" s="243"/>
    </row>
    <row r="19" spans="1:29" ht="33.75" customHeight="1" x14ac:dyDescent="0.25">
      <c r="A19" s="236"/>
      <c r="B19" s="239"/>
      <c r="C19" s="312" t="s">
        <v>162</v>
      </c>
      <c r="D19" s="312" t="s">
        <v>163</v>
      </c>
      <c r="E19" s="298" t="s">
        <v>164</v>
      </c>
      <c r="F19" s="298" t="s">
        <v>165</v>
      </c>
      <c r="G19" s="103" t="s">
        <v>166</v>
      </c>
      <c r="H19" s="103" t="s">
        <v>167</v>
      </c>
      <c r="I19" s="116" t="s">
        <v>168</v>
      </c>
      <c r="J19" s="116" t="s">
        <v>169</v>
      </c>
      <c r="K19" s="89">
        <v>10</v>
      </c>
      <c r="L19" s="89">
        <v>24</v>
      </c>
      <c r="M19" s="89">
        <v>36</v>
      </c>
      <c r="N19" s="89">
        <v>48</v>
      </c>
      <c r="O19" s="89">
        <v>60</v>
      </c>
      <c r="P19" s="89">
        <v>72</v>
      </c>
      <c r="Q19" s="89">
        <v>84</v>
      </c>
      <c r="R19" s="100">
        <v>1</v>
      </c>
      <c r="S19" s="100">
        <v>1</v>
      </c>
      <c r="T19" s="298" t="s">
        <v>35</v>
      </c>
      <c r="U19" s="258">
        <v>505200</v>
      </c>
      <c r="V19" s="247">
        <f>54581+52426</f>
        <v>107007</v>
      </c>
      <c r="W19" s="294">
        <v>54581</v>
      </c>
      <c r="X19" s="114">
        <v>53063.98</v>
      </c>
      <c r="Y19" s="117"/>
      <c r="Z19" s="98">
        <f>X19+Y19</f>
        <v>53063.98</v>
      </c>
      <c r="AA19" s="255">
        <f>Z19/W19</f>
        <v>0.97220607903849332</v>
      </c>
      <c r="AB19" s="110">
        <v>1</v>
      </c>
      <c r="AC19" s="241" t="s">
        <v>170</v>
      </c>
    </row>
    <row r="20" spans="1:29" ht="41.25" customHeight="1" x14ac:dyDescent="0.25">
      <c r="A20" s="236"/>
      <c r="B20" s="239"/>
      <c r="C20" s="313"/>
      <c r="D20" s="313"/>
      <c r="E20" s="299"/>
      <c r="F20" s="299"/>
      <c r="G20" s="103" t="s">
        <v>171</v>
      </c>
      <c r="H20" s="103" t="s">
        <v>172</v>
      </c>
      <c r="I20" s="89" t="s">
        <v>173</v>
      </c>
      <c r="J20" s="89" t="s">
        <v>174</v>
      </c>
      <c r="K20" s="89">
        <v>1</v>
      </c>
      <c r="L20" s="89">
        <v>2</v>
      </c>
      <c r="M20" s="89">
        <v>3</v>
      </c>
      <c r="N20" s="89">
        <v>4</v>
      </c>
      <c r="O20" s="89">
        <v>4</v>
      </c>
      <c r="P20" s="89">
        <v>5</v>
      </c>
      <c r="Q20" s="89">
        <v>6</v>
      </c>
      <c r="R20" s="100">
        <v>1</v>
      </c>
      <c r="S20" s="100">
        <v>0</v>
      </c>
      <c r="T20" s="299"/>
      <c r="U20" s="259"/>
      <c r="V20" s="248"/>
      <c r="W20" s="262"/>
      <c r="X20" s="98"/>
      <c r="Y20" s="98"/>
      <c r="Z20" s="98"/>
      <c r="AA20" s="256"/>
      <c r="AB20" s="110"/>
      <c r="AC20" s="242"/>
    </row>
    <row r="21" spans="1:29" ht="42" customHeight="1" x14ac:dyDescent="0.25">
      <c r="A21" s="236"/>
      <c r="B21" s="239"/>
      <c r="C21" s="313"/>
      <c r="D21" s="313"/>
      <c r="E21" s="299"/>
      <c r="F21" s="299"/>
      <c r="G21" s="103" t="s">
        <v>175</v>
      </c>
      <c r="H21" s="103" t="s">
        <v>172</v>
      </c>
      <c r="I21" s="89" t="s">
        <v>173</v>
      </c>
      <c r="J21" s="89" t="s">
        <v>174</v>
      </c>
      <c r="K21" s="89">
        <v>1</v>
      </c>
      <c r="L21" s="89">
        <v>2</v>
      </c>
      <c r="M21" s="89">
        <v>3</v>
      </c>
      <c r="N21" s="89">
        <v>4</v>
      </c>
      <c r="O21" s="89">
        <v>4</v>
      </c>
      <c r="P21" s="89">
        <v>5</v>
      </c>
      <c r="Q21" s="89">
        <v>6</v>
      </c>
      <c r="R21" s="100">
        <v>1</v>
      </c>
      <c r="S21" s="100">
        <v>0</v>
      </c>
      <c r="T21" s="299"/>
      <c r="U21" s="259"/>
      <c r="V21" s="248"/>
      <c r="W21" s="262"/>
      <c r="X21" s="98"/>
      <c r="Y21" s="98"/>
      <c r="Z21" s="98"/>
      <c r="AA21" s="256"/>
      <c r="AB21" s="110"/>
      <c r="AC21" s="242"/>
    </row>
    <row r="22" spans="1:29" ht="40.5" customHeight="1" x14ac:dyDescent="0.25">
      <c r="A22" s="236"/>
      <c r="B22" s="239"/>
      <c r="C22" s="313"/>
      <c r="D22" s="313"/>
      <c r="E22" s="299"/>
      <c r="F22" s="299"/>
      <c r="G22" s="103" t="s">
        <v>176</v>
      </c>
      <c r="H22" s="103" t="s">
        <v>172</v>
      </c>
      <c r="I22" s="89" t="s">
        <v>173</v>
      </c>
      <c r="J22" s="89" t="s">
        <v>174</v>
      </c>
      <c r="K22" s="89">
        <v>1</v>
      </c>
      <c r="L22" s="89">
        <v>2</v>
      </c>
      <c r="M22" s="89">
        <v>3</v>
      </c>
      <c r="N22" s="89">
        <v>4</v>
      </c>
      <c r="O22" s="89">
        <v>4</v>
      </c>
      <c r="P22" s="89">
        <v>5</v>
      </c>
      <c r="Q22" s="89">
        <v>6</v>
      </c>
      <c r="R22" s="100">
        <v>1</v>
      </c>
      <c r="S22" s="100">
        <v>0</v>
      </c>
      <c r="T22" s="299"/>
      <c r="U22" s="259"/>
      <c r="V22" s="248"/>
      <c r="W22" s="262"/>
      <c r="X22" s="98"/>
      <c r="Y22" s="98"/>
      <c r="Z22" s="98"/>
      <c r="AA22" s="256"/>
      <c r="AB22" s="110"/>
      <c r="AC22" s="242"/>
    </row>
    <row r="23" spans="1:29" ht="38.25" customHeight="1" x14ac:dyDescent="0.25">
      <c r="A23" s="236"/>
      <c r="B23" s="239"/>
      <c r="C23" s="313"/>
      <c r="D23" s="313"/>
      <c r="E23" s="299"/>
      <c r="F23" s="299"/>
      <c r="G23" s="103" t="s">
        <v>177</v>
      </c>
      <c r="H23" s="103" t="s">
        <v>172</v>
      </c>
      <c r="I23" s="89" t="s">
        <v>178</v>
      </c>
      <c r="J23" s="89" t="s">
        <v>179</v>
      </c>
      <c r="K23" s="89">
        <v>3</v>
      </c>
      <c r="L23" s="89">
        <v>3</v>
      </c>
      <c r="M23" s="89">
        <v>3</v>
      </c>
      <c r="N23" s="89">
        <v>3</v>
      </c>
      <c r="O23" s="89">
        <v>3</v>
      </c>
      <c r="P23" s="89">
        <v>3</v>
      </c>
      <c r="Q23" s="89">
        <v>3</v>
      </c>
      <c r="R23" s="100">
        <v>1</v>
      </c>
      <c r="S23" s="100">
        <v>0</v>
      </c>
      <c r="T23" s="299"/>
      <c r="U23" s="259"/>
      <c r="V23" s="248"/>
      <c r="W23" s="262"/>
      <c r="X23" s="98"/>
      <c r="Y23" s="98"/>
      <c r="Z23" s="98"/>
      <c r="AA23" s="256"/>
      <c r="AB23" s="110"/>
      <c r="AC23" s="242"/>
    </row>
    <row r="24" spans="1:29" ht="37.5" customHeight="1" x14ac:dyDescent="0.25">
      <c r="A24" s="236"/>
      <c r="B24" s="239"/>
      <c r="C24" s="313"/>
      <c r="D24" s="313"/>
      <c r="E24" s="299"/>
      <c r="F24" s="299"/>
      <c r="G24" s="103" t="s">
        <v>180</v>
      </c>
      <c r="H24" s="103" t="s">
        <v>172</v>
      </c>
      <c r="I24" s="89" t="s">
        <v>173</v>
      </c>
      <c r="J24" s="89" t="s">
        <v>181</v>
      </c>
      <c r="K24" s="89">
        <v>1</v>
      </c>
      <c r="L24" s="89">
        <v>2</v>
      </c>
      <c r="M24" s="89">
        <v>3</v>
      </c>
      <c r="N24" s="89">
        <v>4</v>
      </c>
      <c r="O24" s="89">
        <v>4</v>
      </c>
      <c r="P24" s="89">
        <v>5</v>
      </c>
      <c r="Q24" s="89">
        <v>6</v>
      </c>
      <c r="R24" s="100">
        <v>1</v>
      </c>
      <c r="S24" s="100">
        <v>0</v>
      </c>
      <c r="T24" s="299"/>
      <c r="U24" s="259"/>
      <c r="V24" s="248"/>
      <c r="W24" s="262"/>
      <c r="X24" s="98"/>
      <c r="Y24" s="98"/>
      <c r="Z24" s="98"/>
      <c r="AA24" s="256"/>
      <c r="AB24" s="110"/>
      <c r="AC24" s="242"/>
    </row>
    <row r="25" spans="1:29" ht="37.5" customHeight="1" x14ac:dyDescent="0.25">
      <c r="A25" s="236"/>
      <c r="B25" s="239"/>
      <c r="C25" s="313"/>
      <c r="D25" s="313"/>
      <c r="E25" s="299"/>
      <c r="F25" s="299"/>
      <c r="G25" s="103" t="s">
        <v>182</v>
      </c>
      <c r="H25" s="103" t="s">
        <v>172</v>
      </c>
      <c r="I25" s="89" t="s">
        <v>183</v>
      </c>
      <c r="J25" s="89" t="s">
        <v>184</v>
      </c>
      <c r="K25" s="89">
        <v>4</v>
      </c>
      <c r="L25" s="89">
        <v>4</v>
      </c>
      <c r="M25" s="89">
        <v>4</v>
      </c>
      <c r="N25" s="89">
        <v>0</v>
      </c>
      <c r="O25" s="89">
        <v>10</v>
      </c>
      <c r="P25" s="89">
        <v>10</v>
      </c>
      <c r="Q25" s="89">
        <v>14</v>
      </c>
      <c r="R25" s="100">
        <v>1</v>
      </c>
      <c r="S25" s="100">
        <v>0</v>
      </c>
      <c r="T25" s="299"/>
      <c r="U25" s="259"/>
      <c r="V25" s="248"/>
      <c r="W25" s="262"/>
      <c r="X25" s="98"/>
      <c r="Y25" s="98"/>
      <c r="Z25" s="98"/>
      <c r="AA25" s="256"/>
      <c r="AB25" s="110"/>
      <c r="AC25" s="242"/>
    </row>
    <row r="26" spans="1:29" ht="36" customHeight="1" x14ac:dyDescent="0.25">
      <c r="A26" s="236"/>
      <c r="B26" s="239"/>
      <c r="C26" s="314"/>
      <c r="D26" s="314"/>
      <c r="E26" s="300"/>
      <c r="F26" s="300"/>
      <c r="G26" s="103" t="s">
        <v>185</v>
      </c>
      <c r="H26" s="103" t="s">
        <v>186</v>
      </c>
      <c r="I26" s="89" t="s">
        <v>187</v>
      </c>
      <c r="J26" s="89" t="s">
        <v>188</v>
      </c>
      <c r="K26" s="89">
        <v>12</v>
      </c>
      <c r="L26" s="89">
        <v>24</v>
      </c>
      <c r="M26" s="89">
        <v>36</v>
      </c>
      <c r="N26" s="89">
        <v>48</v>
      </c>
      <c r="O26" s="89">
        <v>60</v>
      </c>
      <c r="P26" s="89">
        <v>72</v>
      </c>
      <c r="Q26" s="89">
        <v>84</v>
      </c>
      <c r="R26" s="100">
        <v>1</v>
      </c>
      <c r="S26" s="100">
        <v>1</v>
      </c>
      <c r="T26" s="300"/>
      <c r="U26" s="260"/>
      <c r="V26" s="249"/>
      <c r="W26" s="263"/>
      <c r="X26" s="113"/>
      <c r="Y26" s="113"/>
      <c r="Z26" s="113"/>
      <c r="AA26" s="257"/>
      <c r="AB26" s="115"/>
      <c r="AC26" s="243"/>
    </row>
    <row r="27" spans="1:29" ht="85.5" customHeight="1" x14ac:dyDescent="0.25">
      <c r="A27" s="236"/>
      <c r="B27" s="239"/>
      <c r="C27" s="61" t="s">
        <v>27</v>
      </c>
      <c r="D27" s="61" t="s">
        <v>189</v>
      </c>
      <c r="E27" s="118" t="s">
        <v>190</v>
      </c>
      <c r="F27" s="118" t="s">
        <v>191</v>
      </c>
      <c r="G27" s="103" t="s">
        <v>192</v>
      </c>
      <c r="H27" s="103" t="s">
        <v>38</v>
      </c>
      <c r="I27" s="39" t="s">
        <v>193</v>
      </c>
      <c r="J27" s="40" t="s">
        <v>194</v>
      </c>
      <c r="K27" s="89" t="s">
        <v>195</v>
      </c>
      <c r="L27" s="89" t="s">
        <v>195</v>
      </c>
      <c r="M27" s="89" t="s">
        <v>195</v>
      </c>
      <c r="N27" s="89" t="s">
        <v>195</v>
      </c>
      <c r="O27" s="89" t="s">
        <v>193</v>
      </c>
      <c r="P27" s="89" t="s">
        <v>73</v>
      </c>
      <c r="Q27" s="99" t="s">
        <v>74</v>
      </c>
      <c r="R27" s="100">
        <v>1</v>
      </c>
      <c r="S27" s="100">
        <v>1</v>
      </c>
      <c r="T27" s="118" t="s">
        <v>196</v>
      </c>
      <c r="U27" s="104">
        <v>956050</v>
      </c>
      <c r="V27" s="105">
        <f>816000+129658</f>
        <v>945658</v>
      </c>
      <c r="W27" s="119">
        <v>816000</v>
      </c>
      <c r="X27" s="98">
        <v>821148.83</v>
      </c>
      <c r="Y27" s="98"/>
      <c r="Z27" s="98"/>
      <c r="AA27" s="120">
        <f>X27/W27</f>
        <v>1.0063098406862745</v>
      </c>
      <c r="AB27" s="110">
        <v>1</v>
      </c>
      <c r="AC27" s="241" t="s">
        <v>197</v>
      </c>
    </row>
    <row r="28" spans="1:29" ht="36.75" customHeight="1" x14ac:dyDescent="0.25">
      <c r="A28" s="236"/>
      <c r="B28" s="239"/>
      <c r="C28" s="61"/>
      <c r="D28" s="61"/>
      <c r="E28" s="118"/>
      <c r="F28" s="118"/>
      <c r="G28" s="103" t="s">
        <v>198</v>
      </c>
      <c r="H28" s="103" t="s">
        <v>38</v>
      </c>
      <c r="I28" s="39" t="s">
        <v>199</v>
      </c>
      <c r="J28" s="40" t="s">
        <v>200</v>
      </c>
      <c r="K28" s="89" t="s">
        <v>195</v>
      </c>
      <c r="L28" s="89" t="s">
        <v>195</v>
      </c>
      <c r="M28" s="89" t="s">
        <v>195</v>
      </c>
      <c r="N28" s="89" t="s">
        <v>195</v>
      </c>
      <c r="O28" s="89" t="s">
        <v>199</v>
      </c>
      <c r="P28" s="89" t="s">
        <v>83</v>
      </c>
      <c r="Q28" s="99" t="s">
        <v>201</v>
      </c>
      <c r="R28" s="100">
        <v>1</v>
      </c>
      <c r="S28" s="100">
        <v>1</v>
      </c>
      <c r="T28" s="118"/>
      <c r="U28" s="104"/>
      <c r="V28" s="105"/>
      <c r="W28" s="110"/>
      <c r="X28" s="98"/>
      <c r="Y28" s="98"/>
      <c r="Z28" s="98"/>
      <c r="AA28" s="120"/>
      <c r="AB28" s="110"/>
      <c r="AC28" s="242"/>
    </row>
    <row r="29" spans="1:29" ht="123" customHeight="1" x14ac:dyDescent="0.25">
      <c r="A29" s="236"/>
      <c r="B29" s="239"/>
      <c r="C29" s="61"/>
      <c r="D29" s="61"/>
      <c r="E29" s="118"/>
      <c r="F29" s="118"/>
      <c r="G29" s="103" t="s">
        <v>202</v>
      </c>
      <c r="H29" s="103" t="s">
        <v>38</v>
      </c>
      <c r="I29" s="39" t="s">
        <v>52</v>
      </c>
      <c r="J29" s="40" t="s">
        <v>50</v>
      </c>
      <c r="K29" s="89" t="s">
        <v>195</v>
      </c>
      <c r="L29" s="89" t="s">
        <v>195</v>
      </c>
      <c r="M29" s="89" t="s">
        <v>195</v>
      </c>
      <c r="N29" s="89" t="s">
        <v>195</v>
      </c>
      <c r="O29" s="89" t="s">
        <v>203</v>
      </c>
      <c r="P29" s="89" t="s">
        <v>53</v>
      </c>
      <c r="Q29" s="99" t="s">
        <v>54</v>
      </c>
      <c r="R29" s="100">
        <v>1</v>
      </c>
      <c r="S29" s="100">
        <v>1</v>
      </c>
      <c r="T29" s="118"/>
      <c r="U29" s="104"/>
      <c r="V29" s="105"/>
      <c r="W29" s="110"/>
      <c r="X29" s="110"/>
      <c r="Y29" s="98"/>
      <c r="Z29" s="98"/>
      <c r="AA29" s="120"/>
      <c r="AB29" s="110"/>
      <c r="AC29" s="242"/>
    </row>
    <row r="30" spans="1:29" ht="105.75" customHeight="1" x14ac:dyDescent="0.25">
      <c r="A30" s="236"/>
      <c r="B30" s="239"/>
      <c r="C30" s="324" t="s">
        <v>27</v>
      </c>
      <c r="D30" s="324" t="s">
        <v>204</v>
      </c>
      <c r="E30" s="326" t="s">
        <v>205</v>
      </c>
      <c r="F30" s="326" t="s">
        <v>206</v>
      </c>
      <c r="G30" s="121" t="s">
        <v>207</v>
      </c>
      <c r="H30" s="121" t="s">
        <v>38</v>
      </c>
      <c r="I30" s="39" t="s">
        <v>208</v>
      </c>
      <c r="J30" s="39" t="s">
        <v>200</v>
      </c>
      <c r="K30" s="39"/>
      <c r="L30" s="39"/>
      <c r="M30" s="39"/>
      <c r="N30" s="39"/>
      <c r="O30" s="39"/>
      <c r="P30" s="39"/>
      <c r="Q30" s="122" t="s">
        <v>201</v>
      </c>
      <c r="R30" s="123">
        <v>1</v>
      </c>
      <c r="S30" s="123">
        <v>1</v>
      </c>
      <c r="T30" s="124" t="s">
        <v>209</v>
      </c>
      <c r="U30" s="125">
        <v>600000</v>
      </c>
      <c r="V30" s="126">
        <f>300000+300000</f>
        <v>600000</v>
      </c>
      <c r="W30" s="107">
        <v>300000</v>
      </c>
      <c r="X30" s="127">
        <v>295105.31</v>
      </c>
      <c r="Y30" s="127"/>
      <c r="Z30" s="127"/>
      <c r="AA30" s="128">
        <f>X30/W30</f>
        <v>0.9836843666666667</v>
      </c>
      <c r="AB30" s="127">
        <v>1</v>
      </c>
      <c r="AC30" s="261" t="s">
        <v>210</v>
      </c>
    </row>
    <row r="31" spans="1:29" ht="48" customHeight="1" x14ac:dyDescent="0.25">
      <c r="A31" s="236"/>
      <c r="B31" s="239"/>
      <c r="C31" s="325"/>
      <c r="D31" s="325"/>
      <c r="E31" s="327"/>
      <c r="F31" s="327"/>
      <c r="G31" s="121" t="s">
        <v>211</v>
      </c>
      <c r="H31" s="121" t="s">
        <v>38</v>
      </c>
      <c r="I31" s="39" t="s">
        <v>212</v>
      </c>
      <c r="J31" s="40" t="s">
        <v>213</v>
      </c>
      <c r="K31" s="39"/>
      <c r="L31" s="39"/>
      <c r="M31" s="39"/>
      <c r="N31" s="39"/>
      <c r="O31" s="39"/>
      <c r="P31" s="39"/>
      <c r="Q31" s="122" t="s">
        <v>214</v>
      </c>
      <c r="R31" s="123">
        <v>1</v>
      </c>
      <c r="S31" s="123">
        <v>0</v>
      </c>
      <c r="T31" s="129"/>
      <c r="U31" s="130"/>
      <c r="V31" s="131"/>
      <c r="W31" s="119"/>
      <c r="X31" s="132"/>
      <c r="Y31" s="132"/>
      <c r="Z31" s="132"/>
      <c r="AA31" s="133"/>
      <c r="AB31" s="132"/>
      <c r="AC31" s="261"/>
    </row>
    <row r="32" spans="1:29" ht="144.75" customHeight="1" x14ac:dyDescent="0.25">
      <c r="A32" s="236"/>
      <c r="B32" s="239"/>
      <c r="C32" s="312" t="s">
        <v>215</v>
      </c>
      <c r="D32" s="312" t="s">
        <v>216</v>
      </c>
      <c r="E32" s="298" t="s">
        <v>217</v>
      </c>
      <c r="F32" s="298" t="s">
        <v>218</v>
      </c>
      <c r="G32" s="103" t="s">
        <v>219</v>
      </c>
      <c r="H32" s="103" t="s">
        <v>220</v>
      </c>
      <c r="I32" s="103" t="s">
        <v>221</v>
      </c>
      <c r="J32" s="103" t="s">
        <v>222</v>
      </c>
      <c r="K32" s="106" t="s">
        <v>223</v>
      </c>
      <c r="L32" s="106" t="s">
        <v>224</v>
      </c>
      <c r="M32" s="106" t="s">
        <v>225</v>
      </c>
      <c r="N32" s="106" t="s">
        <v>226</v>
      </c>
      <c r="O32" s="106" t="s">
        <v>227</v>
      </c>
      <c r="P32" s="106" t="s">
        <v>228</v>
      </c>
      <c r="Q32" s="106" t="s">
        <v>229</v>
      </c>
      <c r="R32" s="100">
        <v>0</v>
      </c>
      <c r="S32" s="100">
        <v>0</v>
      </c>
      <c r="T32" s="298" t="s">
        <v>230</v>
      </c>
      <c r="U32" s="258">
        <v>51981</v>
      </c>
      <c r="V32" s="247">
        <v>19000</v>
      </c>
      <c r="W32" s="107">
        <v>19000</v>
      </c>
      <c r="X32" s="109">
        <v>11782.98</v>
      </c>
      <c r="Y32" s="98"/>
      <c r="Z32" s="109">
        <f>X32+Y32</f>
        <v>11782.98</v>
      </c>
      <c r="AA32" s="255">
        <f>Z32/W32</f>
        <v>0.62015684210526312</v>
      </c>
      <c r="AB32" s="109">
        <v>1</v>
      </c>
      <c r="AC32" s="241" t="s">
        <v>231</v>
      </c>
    </row>
    <row r="33" spans="1:29" ht="78" customHeight="1" x14ac:dyDescent="0.25">
      <c r="A33" s="236"/>
      <c r="B33" s="239"/>
      <c r="C33" s="315"/>
      <c r="D33" s="313"/>
      <c r="E33" s="299"/>
      <c r="F33" s="299"/>
      <c r="G33" s="103" t="s">
        <v>232</v>
      </c>
      <c r="H33" s="103" t="s">
        <v>38</v>
      </c>
      <c r="I33" s="103" t="s">
        <v>233</v>
      </c>
      <c r="J33" s="103" t="s">
        <v>234</v>
      </c>
      <c r="K33" s="106" t="s">
        <v>235</v>
      </c>
      <c r="L33" s="106" t="s">
        <v>236</v>
      </c>
      <c r="M33" s="106" t="s">
        <v>237</v>
      </c>
      <c r="N33" s="106" t="s">
        <v>238</v>
      </c>
      <c r="O33" s="106" t="s">
        <v>239</v>
      </c>
      <c r="P33" s="106" t="s">
        <v>240</v>
      </c>
      <c r="Q33" s="106" t="s">
        <v>241</v>
      </c>
      <c r="R33" s="100">
        <v>1</v>
      </c>
      <c r="S33" s="100">
        <v>1</v>
      </c>
      <c r="T33" s="299"/>
      <c r="U33" s="259"/>
      <c r="V33" s="248"/>
      <c r="W33" s="110"/>
      <c r="X33" s="98"/>
      <c r="Y33" s="98"/>
      <c r="Z33" s="98"/>
      <c r="AA33" s="256"/>
      <c r="AB33" s="110"/>
      <c r="AC33" s="242"/>
    </row>
    <row r="34" spans="1:29" ht="74.25" customHeight="1" x14ac:dyDescent="0.25">
      <c r="A34" s="236"/>
      <c r="B34" s="239"/>
      <c r="C34" s="313"/>
      <c r="D34" s="313"/>
      <c r="E34" s="299"/>
      <c r="F34" s="299"/>
      <c r="G34" s="103" t="s">
        <v>242</v>
      </c>
      <c r="H34" s="103" t="s">
        <v>38</v>
      </c>
      <c r="I34" s="103" t="s">
        <v>243</v>
      </c>
      <c r="J34" s="103" t="s">
        <v>244</v>
      </c>
      <c r="K34" s="106" t="s">
        <v>223</v>
      </c>
      <c r="L34" s="106" t="s">
        <v>245</v>
      </c>
      <c r="M34" s="106" t="s">
        <v>246</v>
      </c>
      <c r="N34" s="106" t="s">
        <v>247</v>
      </c>
      <c r="O34" s="106" t="s">
        <v>248</v>
      </c>
      <c r="P34" s="106" t="s">
        <v>249</v>
      </c>
      <c r="Q34" s="106" t="s">
        <v>250</v>
      </c>
      <c r="R34" s="100">
        <v>1</v>
      </c>
      <c r="S34" s="100">
        <v>1</v>
      </c>
      <c r="T34" s="299"/>
      <c r="U34" s="259"/>
      <c r="V34" s="248"/>
      <c r="W34" s="110"/>
      <c r="X34" s="98"/>
      <c r="Y34" s="98"/>
      <c r="Z34" s="98"/>
      <c r="AA34" s="256"/>
      <c r="AB34" s="110"/>
      <c r="AC34" s="242"/>
    </row>
    <row r="35" spans="1:29" ht="69" customHeight="1" x14ac:dyDescent="0.25">
      <c r="A35" s="236"/>
      <c r="B35" s="239"/>
      <c r="C35" s="313"/>
      <c r="D35" s="313"/>
      <c r="E35" s="299"/>
      <c r="F35" s="299"/>
      <c r="G35" s="103" t="s">
        <v>251</v>
      </c>
      <c r="H35" s="103" t="s">
        <v>38</v>
      </c>
      <c r="I35" s="103" t="s">
        <v>252</v>
      </c>
      <c r="J35" s="103" t="s">
        <v>253</v>
      </c>
      <c r="K35" s="106" t="s">
        <v>254</v>
      </c>
      <c r="L35" s="106" t="s">
        <v>255</v>
      </c>
      <c r="M35" s="106" t="s">
        <v>256</v>
      </c>
      <c r="N35" s="106" t="s">
        <v>257</v>
      </c>
      <c r="O35" s="106" t="s">
        <v>258</v>
      </c>
      <c r="P35" s="99" t="s">
        <v>259</v>
      </c>
      <c r="Q35" s="99" t="s">
        <v>260</v>
      </c>
      <c r="R35" s="100">
        <v>1</v>
      </c>
      <c r="S35" s="100">
        <v>1</v>
      </c>
      <c r="T35" s="299"/>
      <c r="U35" s="259"/>
      <c r="V35" s="248"/>
      <c r="W35" s="110"/>
      <c r="X35" s="98"/>
      <c r="Y35" s="98"/>
      <c r="Z35" s="98"/>
      <c r="AA35" s="256"/>
      <c r="AB35" s="110"/>
      <c r="AC35" s="242"/>
    </row>
    <row r="36" spans="1:29" ht="69" customHeight="1" x14ac:dyDescent="0.25">
      <c r="A36" s="236"/>
      <c r="B36" s="239"/>
      <c r="C36" s="316"/>
      <c r="D36" s="314"/>
      <c r="E36" s="300"/>
      <c r="F36" s="300"/>
      <c r="G36" s="103" t="s">
        <v>261</v>
      </c>
      <c r="H36" s="103" t="s">
        <v>38</v>
      </c>
      <c r="I36" s="103" t="s">
        <v>262</v>
      </c>
      <c r="J36" s="103" t="s">
        <v>263</v>
      </c>
      <c r="K36" s="106" t="s">
        <v>264</v>
      </c>
      <c r="L36" s="106" t="s">
        <v>265</v>
      </c>
      <c r="M36" s="106" t="s">
        <v>266</v>
      </c>
      <c r="N36" s="106" t="s">
        <v>267</v>
      </c>
      <c r="O36" s="106" t="s">
        <v>268</v>
      </c>
      <c r="P36" s="106" t="s">
        <v>269</v>
      </c>
      <c r="Q36" s="106" t="s">
        <v>270</v>
      </c>
      <c r="R36" s="100" t="s">
        <v>135</v>
      </c>
      <c r="S36" s="100" t="s">
        <v>271</v>
      </c>
      <c r="T36" s="300"/>
      <c r="U36" s="260"/>
      <c r="V36" s="249"/>
      <c r="W36" s="110"/>
      <c r="X36" s="98"/>
      <c r="Y36" s="98"/>
      <c r="Z36" s="98"/>
      <c r="AA36" s="256"/>
      <c r="AB36" s="110"/>
      <c r="AC36" s="243"/>
    </row>
    <row r="37" spans="1:29" ht="68.25" customHeight="1" x14ac:dyDescent="0.25">
      <c r="A37" s="236"/>
      <c r="B37" s="239"/>
      <c r="C37" s="312" t="s">
        <v>272</v>
      </c>
      <c r="D37" s="312" t="s">
        <v>273</v>
      </c>
      <c r="E37" s="298" t="s">
        <v>274</v>
      </c>
      <c r="F37" s="298" t="s">
        <v>275</v>
      </c>
      <c r="G37" s="103" t="s">
        <v>276</v>
      </c>
      <c r="H37" s="103" t="s">
        <v>277</v>
      </c>
      <c r="I37" s="103" t="s">
        <v>278</v>
      </c>
      <c r="J37" s="103" t="s">
        <v>279</v>
      </c>
      <c r="K37" s="103" t="s">
        <v>280</v>
      </c>
      <c r="L37" s="103" t="s">
        <v>281</v>
      </c>
      <c r="M37" s="103" t="s">
        <v>282</v>
      </c>
      <c r="N37" s="106" t="s">
        <v>283</v>
      </c>
      <c r="O37" s="106" t="s">
        <v>284</v>
      </c>
      <c r="P37" s="106" t="s">
        <v>259</v>
      </c>
      <c r="Q37" s="106" t="s">
        <v>285</v>
      </c>
      <c r="R37" s="100">
        <v>0</v>
      </c>
      <c r="S37" s="100">
        <v>1</v>
      </c>
      <c r="T37" s="298" t="s">
        <v>35</v>
      </c>
      <c r="U37" s="258">
        <v>610864</v>
      </c>
      <c r="V37" s="247">
        <f>225700+172960</f>
        <v>398660</v>
      </c>
      <c r="W37" s="109">
        <v>225700</v>
      </c>
      <c r="X37" s="109">
        <v>116990.54</v>
      </c>
      <c r="Y37" s="97"/>
      <c r="Z37" s="134">
        <f>X37+Y37</f>
        <v>116990.54</v>
      </c>
      <c r="AA37" s="255">
        <f>Z37/W37</f>
        <v>0.51834532565352232</v>
      </c>
      <c r="AB37" s="109">
        <v>1</v>
      </c>
      <c r="AC37" s="241" t="s">
        <v>286</v>
      </c>
    </row>
    <row r="38" spans="1:29" ht="81.75" customHeight="1" x14ac:dyDescent="0.25">
      <c r="A38" s="236"/>
      <c r="B38" s="239"/>
      <c r="C38" s="313"/>
      <c r="D38" s="313"/>
      <c r="E38" s="299"/>
      <c r="F38" s="299"/>
      <c r="G38" s="103" t="s">
        <v>287</v>
      </c>
      <c r="H38" s="103" t="s">
        <v>288</v>
      </c>
      <c r="I38" s="103" t="s">
        <v>289</v>
      </c>
      <c r="J38" s="103" t="s">
        <v>290</v>
      </c>
      <c r="K38" s="103" t="s">
        <v>291</v>
      </c>
      <c r="L38" s="103" t="s">
        <v>281</v>
      </c>
      <c r="M38" s="103" t="s">
        <v>292</v>
      </c>
      <c r="N38" s="106" t="s">
        <v>293</v>
      </c>
      <c r="O38" s="106" t="s">
        <v>294</v>
      </c>
      <c r="P38" s="106" t="s">
        <v>295</v>
      </c>
      <c r="Q38" s="106" t="s">
        <v>296</v>
      </c>
      <c r="R38" s="100">
        <v>1</v>
      </c>
      <c r="S38" s="100">
        <v>0</v>
      </c>
      <c r="T38" s="299"/>
      <c r="U38" s="259"/>
      <c r="V38" s="248"/>
      <c r="W38" s="110"/>
      <c r="X38" s="98"/>
      <c r="Y38" s="98"/>
      <c r="Z38" s="98"/>
      <c r="AA38" s="256"/>
      <c r="AB38" s="110"/>
      <c r="AC38" s="242"/>
    </row>
    <row r="39" spans="1:29" ht="79.5" customHeight="1" x14ac:dyDescent="0.25">
      <c r="A39" s="236"/>
      <c r="B39" s="239"/>
      <c r="C39" s="313"/>
      <c r="D39" s="313"/>
      <c r="E39" s="299"/>
      <c r="F39" s="299"/>
      <c r="G39" s="103" t="s">
        <v>297</v>
      </c>
      <c r="H39" s="103" t="s">
        <v>288</v>
      </c>
      <c r="I39" s="89" t="s">
        <v>298</v>
      </c>
      <c r="J39" s="111" t="s">
        <v>299</v>
      </c>
      <c r="K39" s="103" t="s">
        <v>195</v>
      </c>
      <c r="L39" s="103" t="s">
        <v>195</v>
      </c>
      <c r="M39" s="103" t="s">
        <v>195</v>
      </c>
      <c r="N39" s="106" t="s">
        <v>195</v>
      </c>
      <c r="O39" s="106" t="s">
        <v>300</v>
      </c>
      <c r="P39" s="106" t="s">
        <v>301</v>
      </c>
      <c r="Q39" s="106" t="s">
        <v>302</v>
      </c>
      <c r="R39" s="100" t="s">
        <v>135</v>
      </c>
      <c r="S39" s="100" t="s">
        <v>303</v>
      </c>
      <c r="T39" s="299"/>
      <c r="U39" s="259"/>
      <c r="V39" s="248"/>
      <c r="W39" s="110"/>
      <c r="X39" s="98"/>
      <c r="Y39" s="98"/>
      <c r="Z39" s="98"/>
      <c r="AA39" s="256"/>
      <c r="AB39" s="110"/>
      <c r="AC39" s="242"/>
    </row>
    <row r="40" spans="1:29" ht="136.5" customHeight="1" x14ac:dyDescent="0.25">
      <c r="A40" s="236"/>
      <c r="B40" s="239"/>
      <c r="C40" s="313"/>
      <c r="D40" s="313"/>
      <c r="E40" s="299"/>
      <c r="F40" s="299"/>
      <c r="G40" s="103" t="s">
        <v>304</v>
      </c>
      <c r="H40" s="103" t="s">
        <v>288</v>
      </c>
      <c r="I40" s="89" t="s">
        <v>305</v>
      </c>
      <c r="J40" s="103" t="s">
        <v>306</v>
      </c>
      <c r="K40" s="103" t="str">
        <f>I40</f>
        <v>71 (visiškai sutinka ir greičiau sutinka, 2016 m.)</v>
      </c>
      <c r="L40" s="103" t="s">
        <v>307</v>
      </c>
      <c r="M40" s="103" t="s">
        <v>308</v>
      </c>
      <c r="N40" s="106" t="s">
        <v>309</v>
      </c>
      <c r="O40" s="106" t="s">
        <v>310</v>
      </c>
      <c r="P40" s="106" t="s">
        <v>311</v>
      </c>
      <c r="Q40" s="106" t="s">
        <v>312</v>
      </c>
      <c r="R40" s="100">
        <v>1</v>
      </c>
      <c r="S40" s="100">
        <v>1</v>
      </c>
      <c r="T40" s="299"/>
      <c r="U40" s="259"/>
      <c r="V40" s="248"/>
      <c r="W40" s="262"/>
      <c r="X40" s="98"/>
      <c r="Y40" s="98"/>
      <c r="Z40" s="98"/>
      <c r="AA40" s="256"/>
      <c r="AB40" s="110"/>
      <c r="AC40" s="242"/>
    </row>
    <row r="41" spans="1:29" ht="72.75" customHeight="1" x14ac:dyDescent="0.25">
      <c r="A41" s="236"/>
      <c r="B41" s="239"/>
      <c r="C41" s="313"/>
      <c r="D41" s="313"/>
      <c r="E41" s="299"/>
      <c r="F41" s="299"/>
      <c r="G41" s="103" t="s">
        <v>313</v>
      </c>
      <c r="H41" s="103" t="s">
        <v>288</v>
      </c>
      <c r="I41" s="89" t="s">
        <v>314</v>
      </c>
      <c r="J41" s="103" t="s">
        <v>315</v>
      </c>
      <c r="K41" s="103" t="s">
        <v>316</v>
      </c>
      <c r="L41" s="103" t="s">
        <v>317</v>
      </c>
      <c r="M41" s="103" t="s">
        <v>318</v>
      </c>
      <c r="N41" s="106" t="s">
        <v>319</v>
      </c>
      <c r="O41" s="106" t="s">
        <v>320</v>
      </c>
      <c r="P41" s="106" t="s">
        <v>321</v>
      </c>
      <c r="Q41" s="106" t="s">
        <v>322</v>
      </c>
      <c r="R41" s="100">
        <v>0</v>
      </c>
      <c r="S41" s="100">
        <v>1</v>
      </c>
      <c r="T41" s="299"/>
      <c r="U41" s="259"/>
      <c r="V41" s="248"/>
      <c r="W41" s="262"/>
      <c r="X41" s="262"/>
      <c r="Y41" s="113"/>
      <c r="Z41" s="113"/>
      <c r="AA41" s="256"/>
      <c r="AB41" s="262"/>
      <c r="AC41" s="242"/>
    </row>
    <row r="42" spans="1:29" ht="72.75" customHeight="1" x14ac:dyDescent="0.25">
      <c r="A42" s="236"/>
      <c r="B42" s="239"/>
      <c r="C42" s="314"/>
      <c r="D42" s="314"/>
      <c r="E42" s="300"/>
      <c r="F42" s="300"/>
      <c r="G42" s="103" t="s">
        <v>323</v>
      </c>
      <c r="H42" s="103" t="s">
        <v>38</v>
      </c>
      <c r="I42" s="89" t="s">
        <v>324</v>
      </c>
      <c r="J42" s="103" t="s">
        <v>325</v>
      </c>
      <c r="K42" s="103"/>
      <c r="L42" s="103"/>
      <c r="M42" s="103"/>
      <c r="N42" s="106"/>
      <c r="O42" s="106"/>
      <c r="P42" s="99" t="s">
        <v>63</v>
      </c>
      <c r="Q42" s="99" t="s">
        <v>64</v>
      </c>
      <c r="R42" s="100">
        <v>1</v>
      </c>
      <c r="S42" s="100">
        <v>0</v>
      </c>
      <c r="T42" s="300"/>
      <c r="U42" s="260"/>
      <c r="V42" s="249"/>
      <c r="W42" s="263"/>
      <c r="X42" s="263"/>
      <c r="Y42" s="113"/>
      <c r="Z42" s="113"/>
      <c r="AA42" s="257"/>
      <c r="AB42" s="263"/>
      <c r="AC42" s="243"/>
    </row>
    <row r="43" spans="1:29" ht="206.25" customHeight="1" x14ac:dyDescent="0.25">
      <c r="A43" s="236"/>
      <c r="B43" s="239"/>
      <c r="C43" s="59" t="s">
        <v>326</v>
      </c>
      <c r="D43" s="59" t="s">
        <v>327</v>
      </c>
      <c r="E43" s="103" t="s">
        <v>328</v>
      </c>
      <c r="F43" s="103" t="s">
        <v>329</v>
      </c>
      <c r="G43" s="103" t="s">
        <v>330</v>
      </c>
      <c r="H43" s="103" t="s">
        <v>331</v>
      </c>
      <c r="I43" s="103" t="s">
        <v>332</v>
      </c>
      <c r="J43" s="103" t="s">
        <v>333</v>
      </c>
      <c r="K43" s="103" t="s">
        <v>291</v>
      </c>
      <c r="L43" s="103" t="s">
        <v>334</v>
      </c>
      <c r="M43" s="103" t="s">
        <v>335</v>
      </c>
      <c r="N43" s="106" t="s">
        <v>336</v>
      </c>
      <c r="O43" s="106" t="s">
        <v>337</v>
      </c>
      <c r="P43" s="106" t="s">
        <v>338</v>
      </c>
      <c r="Q43" s="106" t="s">
        <v>339</v>
      </c>
      <c r="R43" s="100">
        <v>1</v>
      </c>
      <c r="S43" s="100">
        <v>0</v>
      </c>
      <c r="T43" s="103" t="s">
        <v>340</v>
      </c>
      <c r="U43" s="37">
        <v>114008</v>
      </c>
      <c r="V43" s="135">
        <f>14700+14700</f>
        <v>29400</v>
      </c>
      <c r="W43" s="115">
        <v>14123</v>
      </c>
      <c r="X43" s="113">
        <v>5743.65</v>
      </c>
      <c r="Y43" s="113"/>
      <c r="Z43" s="113">
        <f>X43+Y43</f>
        <v>5743.65</v>
      </c>
      <c r="AA43" s="136">
        <f>Z43/W43</f>
        <v>0.40668767259080929</v>
      </c>
      <c r="AB43" s="115">
        <v>0</v>
      </c>
      <c r="AC43" s="137" t="s">
        <v>341</v>
      </c>
    </row>
    <row r="44" spans="1:29" ht="80.25" customHeight="1" x14ac:dyDescent="0.25">
      <c r="A44" s="236"/>
      <c r="B44" s="239"/>
      <c r="C44" s="312" t="s">
        <v>342</v>
      </c>
      <c r="D44" s="312" t="s">
        <v>343</v>
      </c>
      <c r="E44" s="298" t="s">
        <v>344</v>
      </c>
      <c r="F44" s="298" t="s">
        <v>345</v>
      </c>
      <c r="G44" s="103" t="s">
        <v>346</v>
      </c>
      <c r="H44" s="103" t="s">
        <v>347</v>
      </c>
      <c r="I44" s="103" t="s">
        <v>348</v>
      </c>
      <c r="J44" s="103" t="s">
        <v>349</v>
      </c>
      <c r="K44" s="103" t="s">
        <v>350</v>
      </c>
      <c r="L44" s="103" t="s">
        <v>351</v>
      </c>
      <c r="M44" s="103" t="s">
        <v>111</v>
      </c>
      <c r="N44" s="106" t="s">
        <v>112</v>
      </c>
      <c r="O44" s="106" t="s">
        <v>352</v>
      </c>
      <c r="P44" s="106" t="s">
        <v>353</v>
      </c>
      <c r="Q44" s="227" t="s">
        <v>354</v>
      </c>
      <c r="R44" s="100">
        <v>1</v>
      </c>
      <c r="S44" s="100">
        <v>0</v>
      </c>
      <c r="T44" s="298" t="s">
        <v>355</v>
      </c>
      <c r="U44" s="258">
        <v>182497</v>
      </c>
      <c r="V44" s="247">
        <v>29250</v>
      </c>
      <c r="W44" s="110">
        <v>29250</v>
      </c>
      <c r="X44" s="98">
        <v>8736.2000000000007</v>
      </c>
      <c r="Y44" s="98"/>
      <c r="Z44" s="98"/>
      <c r="AA44" s="255">
        <f>X44/W44</f>
        <v>0.29867350427350431</v>
      </c>
      <c r="AB44" s="110">
        <v>1</v>
      </c>
      <c r="AC44" s="241" t="s">
        <v>356</v>
      </c>
    </row>
    <row r="45" spans="1:29" ht="75.75" customHeight="1" x14ac:dyDescent="0.25">
      <c r="A45" s="236"/>
      <c r="B45" s="239"/>
      <c r="C45" s="313"/>
      <c r="D45" s="313"/>
      <c r="E45" s="299"/>
      <c r="F45" s="299"/>
      <c r="G45" s="103" t="s">
        <v>357</v>
      </c>
      <c r="H45" s="103" t="s">
        <v>38</v>
      </c>
      <c r="I45" s="103" t="s">
        <v>117</v>
      </c>
      <c r="J45" s="103" t="s">
        <v>358</v>
      </c>
      <c r="K45" s="103" t="s">
        <v>359</v>
      </c>
      <c r="L45" s="103" t="s">
        <v>120</v>
      </c>
      <c r="M45" s="103" t="str">
        <f>M14</f>
        <v>45 (2018 m. lapkritis)</v>
      </c>
      <c r="N45" s="106" t="str">
        <f>N14</f>
        <v>55 (2019 m. spalis)</v>
      </c>
      <c r="O45" s="106" t="s">
        <v>123</v>
      </c>
      <c r="P45" s="138" t="s">
        <v>124</v>
      </c>
      <c r="Q45" s="225" t="s">
        <v>125</v>
      </c>
      <c r="R45" s="226">
        <v>1</v>
      </c>
      <c r="S45" s="216">
        <v>1</v>
      </c>
      <c r="T45" s="299"/>
      <c r="U45" s="259"/>
      <c r="V45" s="248"/>
      <c r="W45" s="110"/>
      <c r="X45" s="98"/>
      <c r="Y45" s="98"/>
      <c r="Z45" s="98"/>
      <c r="AA45" s="256"/>
      <c r="AB45" s="110"/>
      <c r="AC45" s="242"/>
    </row>
    <row r="46" spans="1:29" ht="70.5" customHeight="1" x14ac:dyDescent="0.25">
      <c r="A46" s="236"/>
      <c r="B46" s="239"/>
      <c r="C46" s="317"/>
      <c r="D46" s="313"/>
      <c r="E46" s="299"/>
      <c r="F46" s="299"/>
      <c r="G46" s="103" t="s">
        <v>360</v>
      </c>
      <c r="H46" s="103" t="s">
        <v>38</v>
      </c>
      <c r="I46" s="103" t="s">
        <v>361</v>
      </c>
      <c r="J46" s="103" t="s">
        <v>362</v>
      </c>
      <c r="K46" s="103" t="s">
        <v>363</v>
      </c>
      <c r="L46" s="103" t="s">
        <v>364</v>
      </c>
      <c r="M46" s="103" t="s">
        <v>365</v>
      </c>
      <c r="N46" s="106" t="s">
        <v>366</v>
      </c>
      <c r="O46" s="106" t="s">
        <v>367</v>
      </c>
      <c r="P46" s="106" t="s">
        <v>368</v>
      </c>
      <c r="Q46" s="228" t="s">
        <v>285</v>
      </c>
      <c r="R46" s="223">
        <v>1</v>
      </c>
      <c r="S46" s="222">
        <v>1</v>
      </c>
      <c r="T46" s="349"/>
      <c r="U46" s="259"/>
      <c r="V46" s="248"/>
      <c r="W46" s="110"/>
      <c r="X46" s="98"/>
      <c r="Y46" s="98"/>
      <c r="Z46" s="98"/>
      <c r="AA46" s="256"/>
      <c r="AB46" s="110"/>
      <c r="AC46" s="242"/>
    </row>
    <row r="47" spans="1:29" ht="69.75" customHeight="1" x14ac:dyDescent="0.25">
      <c r="A47" s="236"/>
      <c r="B47" s="239"/>
      <c r="C47" s="313"/>
      <c r="D47" s="313"/>
      <c r="E47" s="299"/>
      <c r="F47" s="299"/>
      <c r="G47" s="103" t="s">
        <v>369</v>
      </c>
      <c r="H47" s="103" t="s">
        <v>38</v>
      </c>
      <c r="I47" s="103" t="s">
        <v>370</v>
      </c>
      <c r="J47" s="103" t="s">
        <v>371</v>
      </c>
      <c r="K47" s="103" t="s">
        <v>372</v>
      </c>
      <c r="L47" s="103" t="s">
        <v>373</v>
      </c>
      <c r="M47" s="103" t="s">
        <v>374</v>
      </c>
      <c r="N47" s="106" t="s">
        <v>375</v>
      </c>
      <c r="O47" s="106" t="s">
        <v>376</v>
      </c>
      <c r="P47" s="106" t="s">
        <v>377</v>
      </c>
      <c r="Q47" s="106" t="s">
        <v>378</v>
      </c>
      <c r="R47" s="100">
        <v>1</v>
      </c>
      <c r="S47" s="224">
        <v>0</v>
      </c>
      <c r="T47" s="299"/>
      <c r="U47" s="259"/>
      <c r="V47" s="248"/>
      <c r="W47" s="110"/>
      <c r="X47" s="98"/>
      <c r="Y47" s="98"/>
      <c r="Z47" s="98"/>
      <c r="AA47" s="256"/>
      <c r="AB47" s="110"/>
      <c r="AC47" s="242"/>
    </row>
    <row r="48" spans="1:29" ht="57.75" customHeight="1" x14ac:dyDescent="0.25">
      <c r="A48" s="236"/>
      <c r="B48" s="239"/>
      <c r="C48" s="317"/>
      <c r="D48" s="313"/>
      <c r="E48" s="299"/>
      <c r="F48" s="299"/>
      <c r="G48" s="103" t="s">
        <v>379</v>
      </c>
      <c r="H48" s="103" t="s">
        <v>38</v>
      </c>
      <c r="I48" s="103" t="s">
        <v>380</v>
      </c>
      <c r="J48" s="103" t="s">
        <v>381</v>
      </c>
      <c r="K48" s="103" t="s">
        <v>382</v>
      </c>
      <c r="L48" s="103" t="s">
        <v>383</v>
      </c>
      <c r="M48" s="103" t="s">
        <v>384</v>
      </c>
      <c r="N48" s="106" t="s">
        <v>385</v>
      </c>
      <c r="O48" s="106" t="s">
        <v>386</v>
      </c>
      <c r="P48" s="106" t="s">
        <v>387</v>
      </c>
      <c r="Q48" s="106" t="s">
        <v>388</v>
      </c>
      <c r="R48" s="100">
        <v>1</v>
      </c>
      <c r="S48" s="100">
        <v>1</v>
      </c>
      <c r="T48" s="299"/>
      <c r="U48" s="259"/>
      <c r="V48" s="248"/>
      <c r="W48" s="110"/>
      <c r="X48" s="98"/>
      <c r="Y48" s="98"/>
      <c r="Z48" s="98"/>
      <c r="AA48" s="256"/>
      <c r="AB48" s="110"/>
      <c r="AC48" s="242"/>
    </row>
    <row r="49" spans="1:29" ht="57.75" customHeight="1" x14ac:dyDescent="0.25">
      <c r="A49" s="236"/>
      <c r="B49" s="239"/>
      <c r="C49" s="317"/>
      <c r="D49" s="313"/>
      <c r="E49" s="299"/>
      <c r="F49" s="299"/>
      <c r="G49" s="103" t="s">
        <v>389</v>
      </c>
      <c r="H49" s="103" t="s">
        <v>38</v>
      </c>
      <c r="I49" s="89" t="s">
        <v>390</v>
      </c>
      <c r="J49" s="103" t="s">
        <v>371</v>
      </c>
      <c r="K49" s="103" t="s">
        <v>391</v>
      </c>
      <c r="L49" s="103" t="s">
        <v>392</v>
      </c>
      <c r="M49" s="103" t="s">
        <v>393</v>
      </c>
      <c r="N49" s="106" t="s">
        <v>394</v>
      </c>
      <c r="O49" s="106" t="s">
        <v>395</v>
      </c>
      <c r="P49" s="106" t="s">
        <v>396</v>
      </c>
      <c r="Q49" s="106" t="s">
        <v>397</v>
      </c>
      <c r="R49" s="100">
        <v>1</v>
      </c>
      <c r="S49" s="100">
        <v>1</v>
      </c>
      <c r="T49" s="299"/>
      <c r="U49" s="259"/>
      <c r="V49" s="248"/>
      <c r="W49" s="110"/>
      <c r="X49" s="98"/>
      <c r="Y49" s="98"/>
      <c r="Z49" s="98"/>
      <c r="AA49" s="256"/>
      <c r="AB49" s="110"/>
      <c r="AC49" s="242"/>
    </row>
    <row r="50" spans="1:29" ht="100.5" customHeight="1" x14ac:dyDescent="0.25">
      <c r="A50" s="236"/>
      <c r="B50" s="239"/>
      <c r="C50" s="318"/>
      <c r="D50" s="314"/>
      <c r="E50" s="300"/>
      <c r="F50" s="300"/>
      <c r="G50" s="103" t="s">
        <v>398</v>
      </c>
      <c r="H50" s="103" t="s">
        <v>38</v>
      </c>
      <c r="I50" s="89" t="s">
        <v>390</v>
      </c>
      <c r="J50" s="103" t="s">
        <v>371</v>
      </c>
      <c r="K50" s="103" t="s">
        <v>399</v>
      </c>
      <c r="L50" s="103" t="s">
        <v>400</v>
      </c>
      <c r="M50" s="103" t="s">
        <v>401</v>
      </c>
      <c r="N50" s="106" t="s">
        <v>402</v>
      </c>
      <c r="O50" s="106" t="s">
        <v>403</v>
      </c>
      <c r="P50" s="106" t="s">
        <v>404</v>
      </c>
      <c r="Q50" s="106" t="s">
        <v>405</v>
      </c>
      <c r="R50" s="100">
        <v>1</v>
      </c>
      <c r="S50" s="100">
        <v>1</v>
      </c>
      <c r="T50" s="300"/>
      <c r="U50" s="260"/>
      <c r="V50" s="249"/>
      <c r="W50" s="115"/>
      <c r="X50" s="113"/>
      <c r="Y50" s="113"/>
      <c r="Z50" s="113"/>
      <c r="AA50" s="257"/>
      <c r="AB50" s="115"/>
      <c r="AC50" s="243"/>
    </row>
    <row r="51" spans="1:29" ht="101.25" customHeight="1" x14ac:dyDescent="0.25">
      <c r="A51" s="236"/>
      <c r="B51" s="239"/>
      <c r="C51" s="312" t="s">
        <v>406</v>
      </c>
      <c r="D51" s="312" t="s">
        <v>407</v>
      </c>
      <c r="E51" s="298" t="s">
        <v>408</v>
      </c>
      <c r="F51" s="298" t="s">
        <v>409</v>
      </c>
      <c r="G51" s="103" t="s">
        <v>410</v>
      </c>
      <c r="H51" s="103" t="s">
        <v>411</v>
      </c>
      <c r="I51" s="103" t="s">
        <v>412</v>
      </c>
      <c r="J51" s="103" t="s">
        <v>413</v>
      </c>
      <c r="K51" s="103" t="s">
        <v>414</v>
      </c>
      <c r="L51" s="103" t="s">
        <v>351</v>
      </c>
      <c r="M51" s="103" t="s">
        <v>111</v>
      </c>
      <c r="N51" s="106" t="s">
        <v>112</v>
      </c>
      <c r="O51" s="106" t="s">
        <v>352</v>
      </c>
      <c r="P51" s="106" t="s">
        <v>353</v>
      </c>
      <c r="Q51" s="227" t="s">
        <v>354</v>
      </c>
      <c r="R51" s="100">
        <v>1</v>
      </c>
      <c r="S51" s="100">
        <v>0</v>
      </c>
      <c r="T51" s="298" t="s">
        <v>35</v>
      </c>
      <c r="U51" s="258">
        <v>950681</v>
      </c>
      <c r="V51" s="247">
        <f>111000+104000</f>
        <v>215000</v>
      </c>
      <c r="W51" s="119">
        <v>111000</v>
      </c>
      <c r="X51" s="98">
        <v>108203.01</v>
      </c>
      <c r="Y51" s="98"/>
      <c r="Z51" s="98">
        <f>X51+Y51</f>
        <v>108203.01</v>
      </c>
      <c r="AA51" s="255">
        <f>Z51/W51</f>
        <v>0.97480189189189181</v>
      </c>
      <c r="AB51" s="110">
        <v>1</v>
      </c>
      <c r="AC51" s="241" t="s">
        <v>415</v>
      </c>
    </row>
    <row r="52" spans="1:29" ht="57.75" customHeight="1" x14ac:dyDescent="0.25">
      <c r="A52" s="236"/>
      <c r="B52" s="239"/>
      <c r="C52" s="313"/>
      <c r="D52" s="313"/>
      <c r="E52" s="299"/>
      <c r="F52" s="299"/>
      <c r="G52" s="103" t="s">
        <v>416</v>
      </c>
      <c r="H52" s="103" t="s">
        <v>288</v>
      </c>
      <c r="I52" s="103" t="s">
        <v>117</v>
      </c>
      <c r="J52" s="103" t="s">
        <v>417</v>
      </c>
      <c r="K52" s="103" t="s">
        <v>359</v>
      </c>
      <c r="L52" s="103" t="s">
        <v>120</v>
      </c>
      <c r="M52" s="103" t="s">
        <v>121</v>
      </c>
      <c r="N52" s="106" t="s">
        <v>122</v>
      </c>
      <c r="O52" s="106" t="s">
        <v>123</v>
      </c>
      <c r="P52" s="138" t="s">
        <v>124</v>
      </c>
      <c r="Q52" s="229" t="s">
        <v>125</v>
      </c>
      <c r="R52" s="226">
        <v>1</v>
      </c>
      <c r="S52" s="100">
        <v>1</v>
      </c>
      <c r="T52" s="299"/>
      <c r="U52" s="259"/>
      <c r="V52" s="248"/>
      <c r="W52" s="110"/>
      <c r="X52" s="98"/>
      <c r="Y52" s="98"/>
      <c r="Z52" s="98"/>
      <c r="AA52" s="256"/>
      <c r="AB52" s="110"/>
      <c r="AC52" s="242"/>
    </row>
    <row r="53" spans="1:29" ht="54.75" customHeight="1" x14ac:dyDescent="0.25">
      <c r="A53" s="236"/>
      <c r="B53" s="239"/>
      <c r="C53" s="313"/>
      <c r="D53" s="313"/>
      <c r="E53" s="299"/>
      <c r="F53" s="299"/>
      <c r="G53" s="103" t="s">
        <v>418</v>
      </c>
      <c r="H53" s="103" t="s">
        <v>288</v>
      </c>
      <c r="I53" s="103" t="s">
        <v>361</v>
      </c>
      <c r="J53" s="103" t="s">
        <v>419</v>
      </c>
      <c r="K53" s="103" t="s">
        <v>363</v>
      </c>
      <c r="L53" s="103" t="s">
        <v>364</v>
      </c>
      <c r="M53" s="103" t="s">
        <v>365</v>
      </c>
      <c r="N53" s="106" t="s">
        <v>366</v>
      </c>
      <c r="O53" s="106" t="s">
        <v>367</v>
      </c>
      <c r="P53" s="106" t="s">
        <v>368</v>
      </c>
      <c r="Q53" s="228" t="s">
        <v>285</v>
      </c>
      <c r="R53" s="100">
        <v>1</v>
      </c>
      <c r="S53" s="100">
        <v>1</v>
      </c>
      <c r="T53" s="299"/>
      <c r="U53" s="259"/>
      <c r="V53" s="248"/>
      <c r="W53" s="110"/>
      <c r="X53" s="98"/>
      <c r="Y53" s="98"/>
      <c r="Z53" s="98"/>
      <c r="AA53" s="256"/>
      <c r="AB53" s="110"/>
      <c r="AC53" s="242"/>
    </row>
    <row r="54" spans="1:29" ht="116.25" customHeight="1" x14ac:dyDescent="0.25">
      <c r="A54" s="236"/>
      <c r="B54" s="239"/>
      <c r="C54" s="313"/>
      <c r="D54" s="313"/>
      <c r="E54" s="299"/>
      <c r="F54" s="299"/>
      <c r="G54" s="103" t="s">
        <v>420</v>
      </c>
      <c r="H54" s="103" t="s">
        <v>38</v>
      </c>
      <c r="I54" s="103" t="s">
        <v>421</v>
      </c>
      <c r="J54" s="103" t="s">
        <v>422</v>
      </c>
      <c r="K54" s="103"/>
      <c r="L54" s="103"/>
      <c r="M54" s="103"/>
      <c r="N54" s="106"/>
      <c r="O54" s="106"/>
      <c r="P54" s="106" t="s">
        <v>423</v>
      </c>
      <c r="Q54" s="106" t="s">
        <v>424</v>
      </c>
      <c r="R54" s="100">
        <v>0</v>
      </c>
      <c r="S54" s="100" t="s">
        <v>425</v>
      </c>
      <c r="T54" s="299"/>
      <c r="U54" s="259"/>
      <c r="V54" s="248"/>
      <c r="W54" s="110"/>
      <c r="X54" s="98"/>
      <c r="Y54" s="98"/>
      <c r="Z54" s="98"/>
      <c r="AA54" s="256"/>
      <c r="AB54" s="110"/>
      <c r="AC54" s="242"/>
    </row>
    <row r="55" spans="1:29" ht="61.5" customHeight="1" x14ac:dyDescent="0.25">
      <c r="A55" s="236"/>
      <c r="B55" s="239"/>
      <c r="C55" s="313"/>
      <c r="D55" s="313"/>
      <c r="E55" s="299"/>
      <c r="F55" s="299"/>
      <c r="G55" s="103" t="s">
        <v>426</v>
      </c>
      <c r="H55" s="103" t="s">
        <v>288</v>
      </c>
      <c r="I55" s="89" t="s">
        <v>427</v>
      </c>
      <c r="J55" s="103" t="s">
        <v>428</v>
      </c>
      <c r="K55" s="103" t="s">
        <v>429</v>
      </c>
      <c r="L55" s="103" t="s">
        <v>255</v>
      </c>
      <c r="M55" s="103" t="s">
        <v>430</v>
      </c>
      <c r="N55" s="106" t="s">
        <v>431</v>
      </c>
      <c r="O55" s="106" t="s">
        <v>432</v>
      </c>
      <c r="P55" s="106" t="s">
        <v>433</v>
      </c>
      <c r="Q55" s="230" t="s">
        <v>260</v>
      </c>
      <c r="R55" s="100">
        <v>0</v>
      </c>
      <c r="S55" s="100">
        <v>1</v>
      </c>
      <c r="T55" s="299"/>
      <c r="U55" s="259"/>
      <c r="V55" s="248"/>
      <c r="W55" s="110"/>
      <c r="X55" s="98"/>
      <c r="Y55" s="98"/>
      <c r="Z55" s="98"/>
      <c r="AA55" s="256"/>
      <c r="AB55" s="110"/>
      <c r="AC55" s="242"/>
    </row>
    <row r="56" spans="1:29" ht="171" customHeight="1" x14ac:dyDescent="0.25">
      <c r="A56" s="236"/>
      <c r="B56" s="239"/>
      <c r="C56" s="313"/>
      <c r="D56" s="313"/>
      <c r="E56" s="299"/>
      <c r="F56" s="299"/>
      <c r="G56" s="103" t="s">
        <v>434</v>
      </c>
      <c r="H56" s="103" t="s">
        <v>288</v>
      </c>
      <c r="I56" s="89" t="s">
        <v>435</v>
      </c>
      <c r="J56" s="103" t="s">
        <v>436</v>
      </c>
      <c r="K56" s="103" t="s">
        <v>437</v>
      </c>
      <c r="L56" s="103" t="s">
        <v>438</v>
      </c>
      <c r="M56" s="103" t="s">
        <v>439</v>
      </c>
      <c r="N56" s="106" t="s">
        <v>440</v>
      </c>
      <c r="O56" s="106" t="s">
        <v>441</v>
      </c>
      <c r="P56" s="106" t="s">
        <v>442</v>
      </c>
      <c r="Q56" s="106" t="s">
        <v>443</v>
      </c>
      <c r="R56" s="100">
        <v>1</v>
      </c>
      <c r="S56" s="100">
        <v>1</v>
      </c>
      <c r="T56" s="299"/>
      <c r="U56" s="259"/>
      <c r="V56" s="248"/>
      <c r="W56" s="110"/>
      <c r="X56" s="98"/>
      <c r="Y56" s="98"/>
      <c r="Z56" s="98"/>
      <c r="AA56" s="256"/>
      <c r="AB56" s="110"/>
      <c r="AC56" s="242"/>
    </row>
    <row r="57" spans="1:29" ht="54" customHeight="1" x14ac:dyDescent="0.25">
      <c r="A57" s="236"/>
      <c r="B57" s="239"/>
      <c r="C57" s="313"/>
      <c r="D57" s="313"/>
      <c r="E57" s="299"/>
      <c r="F57" s="299"/>
      <c r="G57" s="103" t="s">
        <v>444</v>
      </c>
      <c r="H57" s="103" t="s">
        <v>288</v>
      </c>
      <c r="I57" s="89" t="s">
        <v>445</v>
      </c>
      <c r="J57" s="103" t="s">
        <v>446</v>
      </c>
      <c r="K57" s="89" t="s">
        <v>447</v>
      </c>
      <c r="L57" s="103" t="s">
        <v>448</v>
      </c>
      <c r="M57" s="103" t="s">
        <v>449</v>
      </c>
      <c r="N57" s="106" t="s">
        <v>450</v>
      </c>
      <c r="O57" s="106" t="s">
        <v>451</v>
      </c>
      <c r="P57" s="106" t="s">
        <v>452</v>
      </c>
      <c r="Q57" s="106" t="s">
        <v>453</v>
      </c>
      <c r="R57" s="100">
        <v>0</v>
      </c>
      <c r="S57" s="100">
        <v>1</v>
      </c>
      <c r="T57" s="299"/>
      <c r="U57" s="259"/>
      <c r="V57" s="248"/>
      <c r="W57" s="110"/>
      <c r="X57" s="98"/>
      <c r="Y57" s="98"/>
      <c r="Z57" s="98"/>
      <c r="AA57" s="256"/>
      <c r="AB57" s="110"/>
      <c r="AC57" s="242"/>
    </row>
    <row r="58" spans="1:29" ht="75" customHeight="1" x14ac:dyDescent="0.25">
      <c r="A58" s="236"/>
      <c r="B58" s="239"/>
      <c r="C58" s="314"/>
      <c r="D58" s="314"/>
      <c r="E58" s="300"/>
      <c r="F58" s="300"/>
      <c r="G58" s="103" t="s">
        <v>454</v>
      </c>
      <c r="H58" s="103" t="s">
        <v>38</v>
      </c>
      <c r="I58" s="89">
        <v>62</v>
      </c>
      <c r="J58" s="103" t="s">
        <v>455</v>
      </c>
      <c r="K58" s="103" t="s">
        <v>456</v>
      </c>
      <c r="L58" s="103" t="s">
        <v>457</v>
      </c>
      <c r="M58" s="103" t="s">
        <v>458</v>
      </c>
      <c r="N58" s="106" t="s">
        <v>459</v>
      </c>
      <c r="O58" s="106" t="s">
        <v>460</v>
      </c>
      <c r="P58" s="106" t="s">
        <v>461</v>
      </c>
      <c r="Q58" s="106" t="s">
        <v>462</v>
      </c>
      <c r="R58" s="100">
        <v>1</v>
      </c>
      <c r="S58" s="100">
        <v>1</v>
      </c>
      <c r="T58" s="300"/>
      <c r="U58" s="260"/>
      <c r="V58" s="249"/>
      <c r="W58" s="115"/>
      <c r="X58" s="113"/>
      <c r="Y58" s="113"/>
      <c r="Z58" s="113"/>
      <c r="AA58" s="257"/>
      <c r="AB58" s="115"/>
      <c r="AC58" s="243"/>
    </row>
    <row r="59" spans="1:29" ht="91.5" customHeight="1" x14ac:dyDescent="0.25">
      <c r="A59" s="236"/>
      <c r="B59" s="239"/>
      <c r="C59" s="312" t="s">
        <v>463</v>
      </c>
      <c r="D59" s="312" t="s">
        <v>464</v>
      </c>
      <c r="E59" s="298" t="s">
        <v>465</v>
      </c>
      <c r="F59" s="298" t="s">
        <v>466</v>
      </c>
      <c r="G59" s="103" t="s">
        <v>467</v>
      </c>
      <c r="H59" s="103" t="s">
        <v>468</v>
      </c>
      <c r="I59" s="103" t="s">
        <v>469</v>
      </c>
      <c r="J59" s="103" t="s">
        <v>470</v>
      </c>
      <c r="K59" s="103" t="s">
        <v>291</v>
      </c>
      <c r="L59" s="103" t="s">
        <v>471</v>
      </c>
      <c r="M59" s="103" t="s">
        <v>472</v>
      </c>
      <c r="N59" s="106" t="s">
        <v>473</v>
      </c>
      <c r="O59" s="106" t="s">
        <v>474</v>
      </c>
      <c r="P59" s="106" t="s">
        <v>338</v>
      </c>
      <c r="Q59" s="232" t="s">
        <v>339</v>
      </c>
      <c r="R59" s="100">
        <v>1</v>
      </c>
      <c r="S59" s="100">
        <v>0</v>
      </c>
      <c r="T59" s="298" t="s">
        <v>355</v>
      </c>
      <c r="U59" s="258">
        <v>176700</v>
      </c>
      <c r="V59" s="247">
        <v>154832</v>
      </c>
      <c r="W59" s="110">
        <v>154832</v>
      </c>
      <c r="X59" s="98">
        <v>38355.72</v>
      </c>
      <c r="Y59" s="98"/>
      <c r="Z59" s="98">
        <f>X59+Y59</f>
        <v>38355.72</v>
      </c>
      <c r="AA59" s="255">
        <f>X59/W59</f>
        <v>0.24772475973958871</v>
      </c>
      <c r="AB59" s="110">
        <f>X59/W59</f>
        <v>0.24772475973958871</v>
      </c>
      <c r="AC59" s="241" t="s">
        <v>475</v>
      </c>
    </row>
    <row r="60" spans="1:29" ht="74.25" customHeight="1" x14ac:dyDescent="0.25">
      <c r="A60" s="236"/>
      <c r="B60" s="239"/>
      <c r="C60" s="313"/>
      <c r="D60" s="313"/>
      <c r="E60" s="299"/>
      <c r="F60" s="299"/>
      <c r="G60" s="103" t="s">
        <v>476</v>
      </c>
      <c r="H60" s="103" t="s">
        <v>38</v>
      </c>
      <c r="I60" s="103" t="s">
        <v>477</v>
      </c>
      <c r="J60" s="103" t="s">
        <v>413</v>
      </c>
      <c r="K60" s="103" t="s">
        <v>478</v>
      </c>
      <c r="L60" s="103" t="s">
        <v>364</v>
      </c>
      <c r="M60" s="103" t="s">
        <v>479</v>
      </c>
      <c r="N60" s="106" t="s">
        <v>247</v>
      </c>
      <c r="O60" s="106" t="s">
        <v>480</v>
      </c>
      <c r="P60" s="106" t="s">
        <v>133</v>
      </c>
      <c r="Q60" s="228" t="s">
        <v>481</v>
      </c>
      <c r="R60" s="100">
        <v>1</v>
      </c>
      <c r="S60" s="100">
        <v>1</v>
      </c>
      <c r="T60" s="299"/>
      <c r="U60" s="259"/>
      <c r="V60" s="248"/>
      <c r="W60" s="110"/>
      <c r="X60" s="98"/>
      <c r="Y60" s="98"/>
      <c r="Z60" s="98"/>
      <c r="AA60" s="256"/>
      <c r="AB60" s="110"/>
      <c r="AC60" s="242"/>
    </row>
    <row r="61" spans="1:29" ht="72.75" customHeight="1" x14ac:dyDescent="0.25">
      <c r="A61" s="236"/>
      <c r="B61" s="239"/>
      <c r="C61" s="313"/>
      <c r="D61" s="313"/>
      <c r="E61" s="299"/>
      <c r="F61" s="299"/>
      <c r="G61" s="103" t="s">
        <v>482</v>
      </c>
      <c r="H61" s="103" t="s">
        <v>38</v>
      </c>
      <c r="I61" s="103" t="s">
        <v>483</v>
      </c>
      <c r="J61" s="103" t="s">
        <v>484</v>
      </c>
      <c r="K61" s="103" t="s">
        <v>485</v>
      </c>
      <c r="L61" s="103" t="s">
        <v>281</v>
      </c>
      <c r="M61" s="103" t="s">
        <v>365</v>
      </c>
      <c r="N61" s="106" t="s">
        <v>486</v>
      </c>
      <c r="O61" s="106" t="s">
        <v>487</v>
      </c>
      <c r="P61" s="106" t="s">
        <v>488</v>
      </c>
      <c r="Q61" s="231" t="s">
        <v>201</v>
      </c>
      <c r="R61" s="100">
        <v>1</v>
      </c>
      <c r="S61" s="100">
        <v>0</v>
      </c>
      <c r="T61" s="299"/>
      <c r="U61" s="259"/>
      <c r="V61" s="248"/>
      <c r="W61" s="110"/>
      <c r="X61" s="98"/>
      <c r="Y61" s="98"/>
      <c r="Z61" s="98"/>
      <c r="AA61" s="256"/>
      <c r="AB61" s="110"/>
      <c r="AC61" s="242"/>
    </row>
    <row r="62" spans="1:29" ht="200.25" customHeight="1" x14ac:dyDescent="0.25">
      <c r="A62" s="236"/>
      <c r="B62" s="239"/>
      <c r="C62" s="314"/>
      <c r="D62" s="314"/>
      <c r="E62" s="300"/>
      <c r="F62" s="300"/>
      <c r="G62" s="103" t="s">
        <v>489</v>
      </c>
      <c r="H62" s="103" t="s">
        <v>38</v>
      </c>
      <c r="I62" s="89">
        <v>68</v>
      </c>
      <c r="J62" s="103" t="s">
        <v>490</v>
      </c>
      <c r="K62" s="103" t="s">
        <v>491</v>
      </c>
      <c r="L62" s="103" t="s">
        <v>492</v>
      </c>
      <c r="M62" s="103" t="s">
        <v>493</v>
      </c>
      <c r="N62" s="106" t="s">
        <v>494</v>
      </c>
      <c r="O62" s="106" t="s">
        <v>367</v>
      </c>
      <c r="P62" s="106" t="s">
        <v>495</v>
      </c>
      <c r="Q62" s="106" t="s">
        <v>201</v>
      </c>
      <c r="R62" s="100">
        <v>1</v>
      </c>
      <c r="S62" s="100">
        <v>0</v>
      </c>
      <c r="T62" s="300"/>
      <c r="U62" s="260"/>
      <c r="V62" s="249"/>
      <c r="W62" s="139"/>
      <c r="X62" s="140"/>
      <c r="Y62" s="140"/>
      <c r="Z62" s="140"/>
      <c r="AA62" s="257"/>
      <c r="AB62" s="139"/>
      <c r="AC62" s="243"/>
    </row>
    <row r="63" spans="1:29" ht="237.75" customHeight="1" x14ac:dyDescent="0.25">
      <c r="A63" s="236"/>
      <c r="B63" s="239"/>
      <c r="C63" s="312" t="s">
        <v>496</v>
      </c>
      <c r="D63" s="312" t="s">
        <v>497</v>
      </c>
      <c r="E63" s="298" t="s">
        <v>498</v>
      </c>
      <c r="F63" s="298" t="s">
        <v>499</v>
      </c>
      <c r="G63" s="103" t="s">
        <v>500</v>
      </c>
      <c r="H63" s="103" t="s">
        <v>501</v>
      </c>
      <c r="I63" s="103" t="s">
        <v>502</v>
      </c>
      <c r="J63" s="103" t="s">
        <v>503</v>
      </c>
      <c r="K63" s="103" t="s">
        <v>504</v>
      </c>
      <c r="L63" s="103" t="s">
        <v>505</v>
      </c>
      <c r="M63" s="103" t="s">
        <v>506</v>
      </c>
      <c r="N63" s="106" t="s">
        <v>507</v>
      </c>
      <c r="O63" s="106" t="s">
        <v>508</v>
      </c>
      <c r="P63" s="106" t="s">
        <v>509</v>
      </c>
      <c r="Q63" s="106" t="s">
        <v>510</v>
      </c>
      <c r="R63" s="100" t="s">
        <v>135</v>
      </c>
      <c r="S63" s="100" t="s">
        <v>511</v>
      </c>
      <c r="T63" s="298" t="s">
        <v>35</v>
      </c>
      <c r="U63" s="258">
        <v>796599</v>
      </c>
      <c r="V63" s="247">
        <f>150842+129642</f>
        <v>280484</v>
      </c>
      <c r="W63" s="269">
        <v>150842</v>
      </c>
      <c r="X63" s="109">
        <v>149586.25</v>
      </c>
      <c r="Y63" s="141"/>
      <c r="Z63" s="98">
        <f>X63+Y63</f>
        <v>149586.25</v>
      </c>
      <c r="AA63" s="345">
        <f>X63/W63</f>
        <v>0.99167506397422467</v>
      </c>
      <c r="AB63" s="269">
        <v>1</v>
      </c>
      <c r="AC63" s="241" t="s">
        <v>512</v>
      </c>
    </row>
    <row r="64" spans="1:29" ht="72.75" customHeight="1" x14ac:dyDescent="0.25">
      <c r="A64" s="236"/>
      <c r="B64" s="239"/>
      <c r="C64" s="313"/>
      <c r="D64" s="313"/>
      <c r="E64" s="299"/>
      <c r="F64" s="299"/>
      <c r="G64" s="103" t="s">
        <v>513</v>
      </c>
      <c r="H64" s="103" t="s">
        <v>38</v>
      </c>
      <c r="I64" s="103" t="s">
        <v>514</v>
      </c>
      <c r="J64" s="103" t="s">
        <v>515</v>
      </c>
      <c r="K64" s="103" t="s">
        <v>516</v>
      </c>
      <c r="L64" s="103" t="s">
        <v>517</v>
      </c>
      <c r="M64" s="103" t="s">
        <v>518</v>
      </c>
      <c r="N64" s="103" t="s">
        <v>519</v>
      </c>
      <c r="O64" s="103" t="s">
        <v>520</v>
      </c>
      <c r="P64" s="103" t="s">
        <v>521</v>
      </c>
      <c r="Q64" s="103" t="s">
        <v>522</v>
      </c>
      <c r="R64" s="100">
        <v>1</v>
      </c>
      <c r="S64" s="100">
        <v>1</v>
      </c>
      <c r="T64" s="299"/>
      <c r="U64" s="259"/>
      <c r="V64" s="248"/>
      <c r="W64" s="262"/>
      <c r="X64" s="98"/>
      <c r="Y64" s="98"/>
      <c r="Z64" s="98"/>
      <c r="AA64" s="256"/>
      <c r="AB64" s="262"/>
      <c r="AC64" s="242"/>
    </row>
    <row r="65" spans="1:29" ht="105.75" customHeight="1" x14ac:dyDescent="0.25">
      <c r="A65" s="236"/>
      <c r="B65" s="239"/>
      <c r="C65" s="314"/>
      <c r="D65" s="314"/>
      <c r="E65" s="300"/>
      <c r="F65" s="300"/>
      <c r="G65" s="103" t="s">
        <v>523</v>
      </c>
      <c r="H65" s="103" t="s">
        <v>38</v>
      </c>
      <c r="I65" s="103" t="s">
        <v>524</v>
      </c>
      <c r="J65" s="103" t="s">
        <v>525</v>
      </c>
      <c r="K65" s="103" t="s">
        <v>526</v>
      </c>
      <c r="L65" s="103" t="s">
        <v>527</v>
      </c>
      <c r="M65" s="103" t="s">
        <v>528</v>
      </c>
      <c r="N65" s="106" t="s">
        <v>529</v>
      </c>
      <c r="O65" s="106" t="s">
        <v>530</v>
      </c>
      <c r="P65" s="106" t="s">
        <v>531</v>
      </c>
      <c r="Q65" s="106" t="s">
        <v>532</v>
      </c>
      <c r="R65" s="100">
        <v>1</v>
      </c>
      <c r="S65" s="100">
        <v>1</v>
      </c>
      <c r="T65" s="300"/>
      <c r="U65" s="260"/>
      <c r="V65" s="249"/>
      <c r="W65" s="263"/>
      <c r="X65" s="98"/>
      <c r="Y65" s="98"/>
      <c r="Z65" s="98"/>
      <c r="AA65" s="257"/>
      <c r="AB65" s="263"/>
      <c r="AC65" s="243"/>
    </row>
    <row r="66" spans="1:29" ht="258" customHeight="1" x14ac:dyDescent="0.25">
      <c r="A66" s="236"/>
      <c r="B66" s="239"/>
      <c r="C66" s="60" t="s">
        <v>533</v>
      </c>
      <c r="D66" s="60" t="s">
        <v>534</v>
      </c>
      <c r="E66" s="142" t="s">
        <v>535</v>
      </c>
      <c r="F66" s="142" t="s">
        <v>536</v>
      </c>
      <c r="G66" s="103" t="s">
        <v>537</v>
      </c>
      <c r="H66" s="103" t="s">
        <v>538</v>
      </c>
      <c r="I66" s="103" t="s">
        <v>539</v>
      </c>
      <c r="J66" s="103" t="s">
        <v>540</v>
      </c>
      <c r="K66" s="103" t="s">
        <v>541</v>
      </c>
      <c r="L66" s="103" t="s">
        <v>542</v>
      </c>
      <c r="M66" s="103" t="s">
        <v>543</v>
      </c>
      <c r="N66" s="106" t="s">
        <v>544</v>
      </c>
      <c r="O66" s="106" t="s">
        <v>545</v>
      </c>
      <c r="P66" s="106" t="s">
        <v>546</v>
      </c>
      <c r="Q66" s="106" t="s">
        <v>547</v>
      </c>
      <c r="R66" s="100">
        <v>1</v>
      </c>
      <c r="S66" s="100">
        <v>0</v>
      </c>
      <c r="T66" s="142" t="s">
        <v>548</v>
      </c>
      <c r="U66" s="143">
        <v>314713</v>
      </c>
      <c r="V66" s="144">
        <v>29907</v>
      </c>
      <c r="W66" s="145">
        <v>29907</v>
      </c>
      <c r="X66" s="146">
        <v>29907</v>
      </c>
      <c r="Y66" s="134"/>
      <c r="Z66" s="134">
        <f>X66+Y66</f>
        <v>29907</v>
      </c>
      <c r="AA66" s="147">
        <f>X66/W66</f>
        <v>1</v>
      </c>
      <c r="AB66" s="146">
        <v>1</v>
      </c>
      <c r="AC66" s="146" t="s">
        <v>512</v>
      </c>
    </row>
    <row r="67" spans="1:29" ht="68.25" customHeight="1" x14ac:dyDescent="0.25">
      <c r="A67" s="236"/>
      <c r="B67" s="239"/>
      <c r="C67" s="312" t="s">
        <v>549</v>
      </c>
      <c r="D67" s="312" t="s">
        <v>550</v>
      </c>
      <c r="E67" s="298" t="s">
        <v>551</v>
      </c>
      <c r="F67" s="298" t="s">
        <v>552</v>
      </c>
      <c r="G67" s="103" t="s">
        <v>553</v>
      </c>
      <c r="H67" s="103" t="s">
        <v>554</v>
      </c>
      <c r="I67" s="148" t="s">
        <v>555</v>
      </c>
      <c r="J67" s="103" t="s">
        <v>556</v>
      </c>
      <c r="K67" s="148" t="s">
        <v>541</v>
      </c>
      <c r="L67" s="148" t="s">
        <v>542</v>
      </c>
      <c r="M67" s="148" t="s">
        <v>543</v>
      </c>
      <c r="N67" s="106" t="s">
        <v>544</v>
      </c>
      <c r="O67" s="106" t="s">
        <v>557</v>
      </c>
      <c r="P67" s="106" t="s">
        <v>546</v>
      </c>
      <c r="Q67" s="231" t="s">
        <v>547</v>
      </c>
      <c r="R67" s="100">
        <v>1</v>
      </c>
      <c r="S67" s="100">
        <v>1</v>
      </c>
      <c r="T67" s="298" t="s">
        <v>209</v>
      </c>
      <c r="U67" s="258">
        <v>83400</v>
      </c>
      <c r="V67" s="247">
        <v>20000</v>
      </c>
      <c r="W67" s="146">
        <v>16000</v>
      </c>
      <c r="X67" s="134">
        <v>0</v>
      </c>
      <c r="Y67" s="134"/>
      <c r="Z67" s="134">
        <f>X67+Y67</f>
        <v>0</v>
      </c>
      <c r="AA67" s="255">
        <f>X67/W67</f>
        <v>0</v>
      </c>
      <c r="AB67" s="109">
        <v>0</v>
      </c>
      <c r="AC67" s="241" t="s">
        <v>558</v>
      </c>
    </row>
    <row r="68" spans="1:29" ht="64.5" customHeight="1" x14ac:dyDescent="0.25">
      <c r="A68" s="236"/>
      <c r="B68" s="239"/>
      <c r="C68" s="314"/>
      <c r="D68" s="314"/>
      <c r="E68" s="300"/>
      <c r="F68" s="300"/>
      <c r="G68" s="103" t="s">
        <v>559</v>
      </c>
      <c r="H68" s="103" t="s">
        <v>288</v>
      </c>
      <c r="I68" s="100" t="s">
        <v>390</v>
      </c>
      <c r="J68" s="103" t="s">
        <v>560</v>
      </c>
      <c r="K68" s="148" t="s">
        <v>195</v>
      </c>
      <c r="L68" s="148" t="s">
        <v>561</v>
      </c>
      <c r="M68" s="148" t="s">
        <v>562</v>
      </c>
      <c r="N68" s="148" t="s">
        <v>563</v>
      </c>
      <c r="O68" s="103" t="s">
        <v>564</v>
      </c>
      <c r="P68" s="103" t="s">
        <v>565</v>
      </c>
      <c r="Q68" s="103" t="s">
        <v>566</v>
      </c>
      <c r="R68" s="100">
        <v>1</v>
      </c>
      <c r="S68" s="100">
        <v>0</v>
      </c>
      <c r="T68" s="300"/>
      <c r="U68" s="260"/>
      <c r="V68" s="249"/>
      <c r="W68" s="149"/>
      <c r="X68" s="113"/>
      <c r="Y68" s="113"/>
      <c r="Z68" s="113"/>
      <c r="AA68" s="257"/>
      <c r="AB68" s="115"/>
      <c r="AC68" s="243"/>
    </row>
    <row r="69" spans="1:29" ht="84" customHeight="1" x14ac:dyDescent="0.25">
      <c r="A69" s="236"/>
      <c r="B69" s="239"/>
      <c r="C69" s="312" t="s">
        <v>567</v>
      </c>
      <c r="D69" s="312" t="s">
        <v>568</v>
      </c>
      <c r="E69" s="298" t="s">
        <v>569</v>
      </c>
      <c r="F69" s="298" t="s">
        <v>570</v>
      </c>
      <c r="G69" s="103" t="s">
        <v>571</v>
      </c>
      <c r="H69" s="103" t="s">
        <v>572</v>
      </c>
      <c r="I69" s="103" t="s">
        <v>573</v>
      </c>
      <c r="J69" s="103" t="s">
        <v>574</v>
      </c>
      <c r="K69" s="103" t="s">
        <v>223</v>
      </c>
      <c r="L69" s="103" t="s">
        <v>575</v>
      </c>
      <c r="M69" s="103" t="s">
        <v>576</v>
      </c>
      <c r="N69" s="106" t="s">
        <v>577</v>
      </c>
      <c r="O69" s="106" t="s">
        <v>578</v>
      </c>
      <c r="P69" s="106" t="s">
        <v>353</v>
      </c>
      <c r="Q69" s="106" t="s">
        <v>354</v>
      </c>
      <c r="R69" s="100">
        <v>1</v>
      </c>
      <c r="S69" s="100">
        <v>0</v>
      </c>
      <c r="T69" s="298" t="s">
        <v>35</v>
      </c>
      <c r="U69" s="258">
        <v>40028</v>
      </c>
      <c r="V69" s="247">
        <v>4000</v>
      </c>
      <c r="W69" s="146">
        <v>4000</v>
      </c>
      <c r="X69" s="134">
        <v>4513.3</v>
      </c>
      <c r="Y69" s="134"/>
      <c r="Z69" s="134">
        <f>X69+Y69</f>
        <v>4513.3</v>
      </c>
      <c r="AA69" s="256">
        <f>Z69/W69</f>
        <v>1.128325</v>
      </c>
      <c r="AB69" s="109">
        <v>1</v>
      </c>
      <c r="AC69" s="150" t="s">
        <v>512</v>
      </c>
    </row>
    <row r="70" spans="1:29" ht="54" customHeight="1" x14ac:dyDescent="0.25">
      <c r="A70" s="236"/>
      <c r="B70" s="239"/>
      <c r="C70" s="314"/>
      <c r="D70" s="314"/>
      <c r="E70" s="300"/>
      <c r="F70" s="300"/>
      <c r="G70" s="103" t="s">
        <v>579</v>
      </c>
      <c r="H70" s="103" t="s">
        <v>38</v>
      </c>
      <c r="I70" s="89" t="s">
        <v>580</v>
      </c>
      <c r="J70" s="103" t="s">
        <v>581</v>
      </c>
      <c r="K70" s="103" t="s">
        <v>195</v>
      </c>
      <c r="L70" s="103" t="s">
        <v>195</v>
      </c>
      <c r="M70" s="103" t="s">
        <v>195</v>
      </c>
      <c r="N70" s="106" t="s">
        <v>582</v>
      </c>
      <c r="O70" s="106" t="s">
        <v>583</v>
      </c>
      <c r="P70" s="106" t="s">
        <v>584</v>
      </c>
      <c r="Q70" s="231" t="s">
        <v>585</v>
      </c>
      <c r="R70" s="100">
        <v>1</v>
      </c>
      <c r="S70" s="100">
        <v>1</v>
      </c>
      <c r="T70" s="300"/>
      <c r="U70" s="260"/>
      <c r="V70" s="249"/>
      <c r="W70" s="149"/>
      <c r="X70" s="113"/>
      <c r="Y70" s="113"/>
      <c r="Z70" s="113"/>
      <c r="AA70" s="256"/>
      <c r="AB70" s="115"/>
      <c r="AC70" s="151"/>
    </row>
    <row r="71" spans="1:29" ht="83.25" customHeight="1" x14ac:dyDescent="0.25">
      <c r="A71" s="236"/>
      <c r="B71" s="239"/>
      <c r="C71" s="59" t="s">
        <v>586</v>
      </c>
      <c r="D71" s="59" t="s">
        <v>587</v>
      </c>
      <c r="E71" s="103" t="s">
        <v>588</v>
      </c>
      <c r="F71" s="103" t="s">
        <v>589</v>
      </c>
      <c r="G71" s="103" t="s">
        <v>590</v>
      </c>
      <c r="H71" s="103" t="s">
        <v>288</v>
      </c>
      <c r="I71" s="103" t="s">
        <v>591</v>
      </c>
      <c r="J71" s="103" t="s">
        <v>592</v>
      </c>
      <c r="K71" s="103" t="str">
        <f>K61</f>
        <v>76,7 (2016 m. rugsėjis)</v>
      </c>
      <c r="L71" s="103" t="s">
        <v>593</v>
      </c>
      <c r="M71" s="103" t="s">
        <v>594</v>
      </c>
      <c r="N71" s="106" t="s">
        <v>595</v>
      </c>
      <c r="O71" s="106" t="s">
        <v>578</v>
      </c>
      <c r="P71" s="106" t="s">
        <v>353</v>
      </c>
      <c r="Q71" s="106" t="s">
        <v>354</v>
      </c>
      <c r="R71" s="100">
        <v>1</v>
      </c>
      <c r="S71" s="100">
        <v>1</v>
      </c>
      <c r="T71" s="103" t="s">
        <v>209</v>
      </c>
      <c r="U71" s="37">
        <v>70000</v>
      </c>
      <c r="V71" s="135">
        <f>10000+20000</f>
        <v>30000</v>
      </c>
      <c r="W71" s="152">
        <v>10000</v>
      </c>
      <c r="X71" s="152">
        <v>9600</v>
      </c>
      <c r="Y71" s="153"/>
      <c r="Z71" s="154">
        <f>X71+Y71</f>
        <v>9600</v>
      </c>
      <c r="AA71" s="136">
        <f>X71/W71</f>
        <v>0.96</v>
      </c>
      <c r="AB71" s="155">
        <v>1</v>
      </c>
      <c r="AC71" s="150" t="s">
        <v>596</v>
      </c>
    </row>
    <row r="72" spans="1:29" ht="107.25" customHeight="1" x14ac:dyDescent="0.25">
      <c r="A72" s="236"/>
      <c r="B72" s="239"/>
      <c r="C72" s="312" t="s">
        <v>597</v>
      </c>
      <c r="D72" s="312" t="s">
        <v>598</v>
      </c>
      <c r="E72" s="298" t="s">
        <v>599</v>
      </c>
      <c r="F72" s="298" t="s">
        <v>30</v>
      </c>
      <c r="G72" s="103" t="s">
        <v>600</v>
      </c>
      <c r="H72" s="103" t="s">
        <v>288</v>
      </c>
      <c r="I72" s="103" t="s">
        <v>601</v>
      </c>
      <c r="J72" s="103" t="s">
        <v>602</v>
      </c>
      <c r="K72" s="103" t="s">
        <v>603</v>
      </c>
      <c r="L72" s="103" t="s">
        <v>604</v>
      </c>
      <c r="M72" s="103" t="s">
        <v>605</v>
      </c>
      <c r="N72" s="106" t="s">
        <v>606</v>
      </c>
      <c r="O72" s="106" t="s">
        <v>199</v>
      </c>
      <c r="P72" s="106" t="s">
        <v>607</v>
      </c>
      <c r="Q72" s="106" t="s">
        <v>241</v>
      </c>
      <c r="R72" s="100">
        <v>1</v>
      </c>
      <c r="S72" s="100">
        <v>1</v>
      </c>
      <c r="T72" s="298" t="s">
        <v>230</v>
      </c>
      <c r="U72" s="258">
        <v>1118754</v>
      </c>
      <c r="V72" s="295">
        <v>230000</v>
      </c>
      <c r="W72" s="156">
        <v>230000</v>
      </c>
      <c r="X72" s="98">
        <v>210572.65</v>
      </c>
      <c r="Y72" s="98"/>
      <c r="Z72" s="98">
        <f>X72+Y72</f>
        <v>210572.65</v>
      </c>
      <c r="AA72" s="255">
        <f>Z72/W72</f>
        <v>0.91553326086956521</v>
      </c>
      <c r="AB72" s="110">
        <v>1</v>
      </c>
      <c r="AC72" s="241" t="s">
        <v>608</v>
      </c>
    </row>
    <row r="73" spans="1:29" ht="84" customHeight="1" x14ac:dyDescent="0.25">
      <c r="A73" s="236"/>
      <c r="B73" s="239"/>
      <c r="C73" s="314"/>
      <c r="D73" s="363"/>
      <c r="E73" s="297"/>
      <c r="F73" s="297"/>
      <c r="G73" s="103" t="s">
        <v>609</v>
      </c>
      <c r="H73" s="103" t="s">
        <v>172</v>
      </c>
      <c r="I73" s="103" t="s">
        <v>610</v>
      </c>
      <c r="J73" s="103" t="s">
        <v>611</v>
      </c>
      <c r="K73" s="89">
        <v>0</v>
      </c>
      <c r="L73" s="89">
        <v>0</v>
      </c>
      <c r="M73" s="89">
        <v>5</v>
      </c>
      <c r="N73" s="99" t="s">
        <v>612</v>
      </c>
      <c r="O73" s="99" t="s">
        <v>613</v>
      </c>
      <c r="P73" s="99" t="s">
        <v>614</v>
      </c>
      <c r="Q73" s="99" t="s">
        <v>1305</v>
      </c>
      <c r="R73" s="100">
        <v>1</v>
      </c>
      <c r="S73" s="100">
        <v>0</v>
      </c>
      <c r="T73" s="297"/>
      <c r="U73" s="297"/>
      <c r="V73" s="296"/>
      <c r="W73" s="149"/>
      <c r="X73" s="113"/>
      <c r="Y73" s="113"/>
      <c r="Z73" s="113"/>
      <c r="AA73" s="257"/>
      <c r="AB73" s="115"/>
      <c r="AC73" s="243"/>
    </row>
    <row r="74" spans="1:29" ht="69" customHeight="1" x14ac:dyDescent="0.25">
      <c r="A74" s="236"/>
      <c r="B74" s="239"/>
      <c r="C74" s="64" t="s">
        <v>615</v>
      </c>
      <c r="D74" s="65" t="s">
        <v>616</v>
      </c>
      <c r="E74" s="157" t="s">
        <v>617</v>
      </c>
      <c r="F74" s="157" t="s">
        <v>30</v>
      </c>
      <c r="G74" s="121" t="s">
        <v>618</v>
      </c>
      <c r="H74" s="121" t="s">
        <v>38</v>
      </c>
      <c r="I74" s="121" t="s">
        <v>619</v>
      </c>
      <c r="J74" s="121" t="s">
        <v>620</v>
      </c>
      <c r="K74" s="39"/>
      <c r="L74" s="39"/>
      <c r="M74" s="39"/>
      <c r="N74" s="122"/>
      <c r="O74" s="122"/>
      <c r="P74" s="122" t="s">
        <v>63</v>
      </c>
      <c r="Q74" s="122" t="s">
        <v>64</v>
      </c>
      <c r="R74" s="123">
        <v>1</v>
      </c>
      <c r="S74" s="123">
        <v>0</v>
      </c>
      <c r="T74" s="39" t="s">
        <v>209</v>
      </c>
      <c r="U74" s="158">
        <v>253000</v>
      </c>
      <c r="V74" s="159">
        <v>254000</v>
      </c>
      <c r="W74" s="160">
        <v>54000</v>
      </c>
      <c r="X74" s="161">
        <v>0</v>
      </c>
      <c r="Y74" s="162"/>
      <c r="Z74" s="161"/>
      <c r="AA74" s="163">
        <f>X74/W74</f>
        <v>0</v>
      </c>
      <c r="AB74" s="164">
        <v>0</v>
      </c>
      <c r="AC74" s="160" t="s">
        <v>621</v>
      </c>
    </row>
    <row r="75" spans="1:29" ht="201.75" customHeight="1" x14ac:dyDescent="0.25">
      <c r="A75" s="237"/>
      <c r="B75" s="240"/>
      <c r="C75" s="63" t="s">
        <v>215</v>
      </c>
      <c r="D75" s="41" t="s">
        <v>622</v>
      </c>
      <c r="E75" s="39" t="s">
        <v>623</v>
      </c>
      <c r="F75" s="39" t="s">
        <v>30</v>
      </c>
      <c r="G75" s="121" t="s">
        <v>618</v>
      </c>
      <c r="H75" s="121" t="s">
        <v>38</v>
      </c>
      <c r="I75" s="121" t="s">
        <v>619</v>
      </c>
      <c r="J75" s="121" t="s">
        <v>620</v>
      </c>
      <c r="K75" s="39"/>
      <c r="L75" s="39"/>
      <c r="M75" s="39"/>
      <c r="N75" s="122"/>
      <c r="O75" s="122"/>
      <c r="P75" s="122" t="s">
        <v>63</v>
      </c>
      <c r="Q75" s="122" t="s">
        <v>64</v>
      </c>
      <c r="R75" s="123">
        <v>1</v>
      </c>
      <c r="S75" s="123">
        <v>0</v>
      </c>
      <c r="T75" s="39" t="s">
        <v>209</v>
      </c>
      <c r="U75" s="165">
        <v>401000</v>
      </c>
      <c r="V75" s="131">
        <v>401000</v>
      </c>
      <c r="W75" s="166">
        <v>151000</v>
      </c>
      <c r="X75" s="132">
        <v>49999.95</v>
      </c>
      <c r="Y75" s="167"/>
      <c r="Z75" s="132"/>
      <c r="AA75" s="133">
        <f>X75/W75</f>
        <v>0.33112549668874169</v>
      </c>
      <c r="AB75" s="164">
        <v>0</v>
      </c>
      <c r="AC75" s="166" t="s">
        <v>624</v>
      </c>
    </row>
    <row r="76" spans="1:29" s="3" customFormat="1" ht="147.75" customHeight="1" x14ac:dyDescent="0.25">
      <c r="A76" s="331" t="s">
        <v>625</v>
      </c>
      <c r="B76" s="312" t="s">
        <v>626</v>
      </c>
      <c r="C76" s="312" t="s">
        <v>615</v>
      </c>
      <c r="D76" s="312" t="s">
        <v>627</v>
      </c>
      <c r="E76" s="298" t="s">
        <v>628</v>
      </c>
      <c r="F76" s="298" t="s">
        <v>629</v>
      </c>
      <c r="G76" s="103" t="s">
        <v>630</v>
      </c>
      <c r="H76" s="103" t="s">
        <v>631</v>
      </c>
      <c r="I76" s="103" t="s">
        <v>632</v>
      </c>
      <c r="J76" s="103" t="s">
        <v>633</v>
      </c>
      <c r="K76" s="89">
        <v>93</v>
      </c>
      <c r="L76" s="89">
        <v>90</v>
      </c>
      <c r="M76" s="89">
        <v>87</v>
      </c>
      <c r="N76" s="89" t="s">
        <v>634</v>
      </c>
      <c r="O76" s="89" t="s">
        <v>635</v>
      </c>
      <c r="P76" s="89" t="s">
        <v>636</v>
      </c>
      <c r="Q76" s="89" t="s">
        <v>637</v>
      </c>
      <c r="R76" s="100" t="s">
        <v>638</v>
      </c>
      <c r="S76" s="100" t="s">
        <v>639</v>
      </c>
      <c r="T76" s="298" t="s">
        <v>35</v>
      </c>
      <c r="U76" s="258">
        <v>628369</v>
      </c>
      <c r="V76" s="247">
        <f>31028+13711</f>
        <v>44739</v>
      </c>
      <c r="W76" s="264">
        <v>31028</v>
      </c>
      <c r="X76" s="146">
        <v>31546.85</v>
      </c>
      <c r="Y76" s="141"/>
      <c r="Z76" s="98">
        <f>X76+Y76</f>
        <v>31546.85</v>
      </c>
      <c r="AA76" s="255">
        <f>Z76/W76</f>
        <v>1.0167219930385458</v>
      </c>
      <c r="AB76" s="110">
        <v>1</v>
      </c>
      <c r="AC76" s="241" t="s">
        <v>640</v>
      </c>
    </row>
    <row r="77" spans="1:29" s="3" customFormat="1" ht="91.5" customHeight="1" x14ac:dyDescent="0.25">
      <c r="A77" s="332"/>
      <c r="B77" s="313"/>
      <c r="C77" s="313"/>
      <c r="D77" s="313"/>
      <c r="E77" s="299"/>
      <c r="F77" s="299"/>
      <c r="G77" s="103" t="s">
        <v>641</v>
      </c>
      <c r="H77" s="103" t="s">
        <v>288</v>
      </c>
      <c r="I77" s="103" t="s">
        <v>642</v>
      </c>
      <c r="J77" s="103" t="s">
        <v>643</v>
      </c>
      <c r="K77" s="103" t="s">
        <v>644</v>
      </c>
      <c r="L77" s="103" t="s">
        <v>645</v>
      </c>
      <c r="M77" s="103" t="s">
        <v>646</v>
      </c>
      <c r="N77" s="89" t="s">
        <v>647</v>
      </c>
      <c r="O77" s="89" t="s">
        <v>648</v>
      </c>
      <c r="P77" s="89" t="s">
        <v>649</v>
      </c>
      <c r="Q77" s="89" t="s">
        <v>650</v>
      </c>
      <c r="R77" s="100" t="s">
        <v>638</v>
      </c>
      <c r="S77" s="100" t="s">
        <v>651</v>
      </c>
      <c r="T77" s="299"/>
      <c r="U77" s="259"/>
      <c r="V77" s="248"/>
      <c r="W77" s="242"/>
      <c r="X77" s="98"/>
      <c r="Y77" s="98"/>
      <c r="Z77" s="98"/>
      <c r="AA77" s="256"/>
      <c r="AB77" s="110"/>
      <c r="AC77" s="242"/>
    </row>
    <row r="78" spans="1:29" s="3" customFormat="1" ht="87.75" customHeight="1" x14ac:dyDescent="0.25">
      <c r="A78" s="332"/>
      <c r="B78" s="313"/>
      <c r="C78" s="314"/>
      <c r="D78" s="314"/>
      <c r="E78" s="300"/>
      <c r="F78" s="300"/>
      <c r="G78" s="103" t="s">
        <v>652</v>
      </c>
      <c r="H78" s="103" t="s">
        <v>38</v>
      </c>
      <c r="I78" s="89" t="s">
        <v>653</v>
      </c>
      <c r="J78" s="89" t="s">
        <v>253</v>
      </c>
      <c r="K78" s="89">
        <v>68</v>
      </c>
      <c r="L78" s="89">
        <v>76</v>
      </c>
      <c r="M78" s="89">
        <v>75</v>
      </c>
      <c r="N78" s="89">
        <v>78</v>
      </c>
      <c r="O78" s="89">
        <v>77</v>
      </c>
      <c r="P78" s="89" t="s">
        <v>654</v>
      </c>
      <c r="Q78" s="89" t="s">
        <v>655</v>
      </c>
      <c r="R78" s="100">
        <v>1</v>
      </c>
      <c r="S78" s="100">
        <v>1</v>
      </c>
      <c r="T78" s="300"/>
      <c r="U78" s="260"/>
      <c r="V78" s="249"/>
      <c r="W78" s="243"/>
      <c r="X78" s="113"/>
      <c r="Y78" s="113"/>
      <c r="Z78" s="113"/>
      <c r="AA78" s="257"/>
      <c r="AB78" s="115"/>
      <c r="AC78" s="243"/>
    </row>
    <row r="79" spans="1:29" ht="139.5" customHeight="1" x14ac:dyDescent="0.25">
      <c r="A79" s="332"/>
      <c r="B79" s="313"/>
      <c r="C79" s="312" t="s">
        <v>496</v>
      </c>
      <c r="D79" s="312" t="s">
        <v>656</v>
      </c>
      <c r="E79" s="298" t="s">
        <v>657</v>
      </c>
      <c r="F79" s="298" t="s">
        <v>658</v>
      </c>
      <c r="G79" s="103" t="s">
        <v>659</v>
      </c>
      <c r="H79" s="103" t="s">
        <v>411</v>
      </c>
      <c r="I79" s="103" t="s">
        <v>660</v>
      </c>
      <c r="J79" s="103" t="s">
        <v>661</v>
      </c>
      <c r="K79" s="89">
        <v>93</v>
      </c>
      <c r="L79" s="89">
        <v>90</v>
      </c>
      <c r="M79" s="89">
        <f>M76</f>
        <v>87</v>
      </c>
      <c r="N79" s="89" t="s">
        <v>662</v>
      </c>
      <c r="O79" s="89" t="s">
        <v>635</v>
      </c>
      <c r="P79" s="89" t="s">
        <v>636</v>
      </c>
      <c r="Q79" s="89" t="s">
        <v>637</v>
      </c>
      <c r="R79" s="100">
        <v>1</v>
      </c>
      <c r="S79" s="100">
        <v>0</v>
      </c>
      <c r="T79" s="298" t="s">
        <v>35</v>
      </c>
      <c r="U79" s="258">
        <v>213928</v>
      </c>
      <c r="V79" s="247">
        <f>48364+43524</f>
        <v>91888</v>
      </c>
      <c r="W79" s="241">
        <v>48364</v>
      </c>
      <c r="X79" s="146">
        <v>33936.15</v>
      </c>
      <c r="Y79" s="141"/>
      <c r="Z79" s="98">
        <f>X79+Y79</f>
        <v>33936.15</v>
      </c>
      <c r="AA79" s="256">
        <f>X79/W79</f>
        <v>0.70168203622529157</v>
      </c>
      <c r="AB79" s="110">
        <v>1</v>
      </c>
      <c r="AC79" s="241" t="s">
        <v>663</v>
      </c>
    </row>
    <row r="80" spans="1:29" ht="122.25" customHeight="1" x14ac:dyDescent="0.25">
      <c r="A80" s="332"/>
      <c r="B80" s="313"/>
      <c r="C80" s="314"/>
      <c r="D80" s="314"/>
      <c r="E80" s="300"/>
      <c r="F80" s="300"/>
      <c r="G80" s="103" t="s">
        <v>664</v>
      </c>
      <c r="H80" s="103" t="s">
        <v>288</v>
      </c>
      <c r="I80" s="103" t="s">
        <v>665</v>
      </c>
      <c r="J80" s="103" t="s">
        <v>643</v>
      </c>
      <c r="K80" s="89">
        <v>68</v>
      </c>
      <c r="L80" s="89">
        <v>76</v>
      </c>
      <c r="M80" s="103" t="s">
        <v>646</v>
      </c>
      <c r="N80" s="89" t="s">
        <v>666</v>
      </c>
      <c r="O80" s="89" t="s">
        <v>667</v>
      </c>
      <c r="P80" s="89" t="s">
        <v>649</v>
      </c>
      <c r="Q80" s="89" t="s">
        <v>650</v>
      </c>
      <c r="R80" s="100" t="s">
        <v>638</v>
      </c>
      <c r="S80" s="100" t="s">
        <v>651</v>
      </c>
      <c r="T80" s="300"/>
      <c r="U80" s="260"/>
      <c r="V80" s="249"/>
      <c r="W80" s="243"/>
      <c r="X80" s="113"/>
      <c r="Y80" s="113"/>
      <c r="Z80" s="98"/>
      <c r="AA80" s="257"/>
      <c r="AB80" s="115"/>
      <c r="AC80" s="243"/>
    </row>
    <row r="81" spans="1:29" s="28" customFormat="1" ht="99" customHeight="1" x14ac:dyDescent="0.25">
      <c r="A81" s="332"/>
      <c r="B81" s="313"/>
      <c r="C81" s="61" t="s">
        <v>549</v>
      </c>
      <c r="D81" s="61" t="s">
        <v>668</v>
      </c>
      <c r="E81" s="118" t="s">
        <v>669</v>
      </c>
      <c r="F81" s="118" t="s">
        <v>670</v>
      </c>
      <c r="G81" s="103" t="s">
        <v>671</v>
      </c>
      <c r="H81" s="103" t="s">
        <v>38</v>
      </c>
      <c r="I81" s="103" t="s">
        <v>672</v>
      </c>
      <c r="J81" s="103" t="s">
        <v>673</v>
      </c>
      <c r="K81" s="89"/>
      <c r="L81" s="89"/>
      <c r="M81" s="103"/>
      <c r="N81" s="89"/>
      <c r="O81" s="89"/>
      <c r="P81" s="89" t="s">
        <v>674</v>
      </c>
      <c r="Q81" s="89" t="s">
        <v>675</v>
      </c>
      <c r="R81" s="100">
        <v>1</v>
      </c>
      <c r="S81" s="100">
        <v>0</v>
      </c>
      <c r="T81" s="118" t="s">
        <v>209</v>
      </c>
      <c r="U81" s="104">
        <v>150000</v>
      </c>
      <c r="V81" s="105">
        <f>70000+20000</f>
        <v>90000</v>
      </c>
      <c r="W81" s="156">
        <v>70000</v>
      </c>
      <c r="X81" s="98">
        <v>0</v>
      </c>
      <c r="Y81" s="98"/>
      <c r="Z81" s="98"/>
      <c r="AA81" s="120">
        <f>X81/W81</f>
        <v>0</v>
      </c>
      <c r="AB81" s="110">
        <v>0</v>
      </c>
      <c r="AC81" s="156" t="s">
        <v>558</v>
      </c>
    </row>
    <row r="82" spans="1:29" s="28" customFormat="1" ht="78" customHeight="1" x14ac:dyDescent="0.25">
      <c r="A82" s="332"/>
      <c r="B82" s="61"/>
      <c r="C82" s="61"/>
      <c r="D82" s="61"/>
      <c r="E82" s="118"/>
      <c r="F82" s="118"/>
      <c r="G82" s="103" t="s">
        <v>676</v>
      </c>
      <c r="H82" s="103" t="s">
        <v>172</v>
      </c>
      <c r="I82" s="103" t="s">
        <v>677</v>
      </c>
      <c r="J82" s="103" t="s">
        <v>678</v>
      </c>
      <c r="K82" s="89"/>
      <c r="L82" s="89"/>
      <c r="M82" s="103"/>
      <c r="N82" s="89"/>
      <c r="O82" s="89"/>
      <c r="P82" s="89" t="s">
        <v>679</v>
      </c>
      <c r="Q82" s="89" t="s">
        <v>680</v>
      </c>
      <c r="R82" s="100" t="s">
        <v>135</v>
      </c>
      <c r="S82" s="100" t="s">
        <v>681</v>
      </c>
      <c r="T82" s="118"/>
      <c r="U82" s="104"/>
      <c r="V82" s="105"/>
      <c r="W82" s="156"/>
      <c r="X82" s="98"/>
      <c r="Y82" s="98"/>
      <c r="Z82" s="98"/>
      <c r="AA82" s="120"/>
      <c r="AB82" s="110"/>
      <c r="AC82" s="156"/>
    </row>
    <row r="83" spans="1:29" ht="86.25" customHeight="1" x14ac:dyDescent="0.25">
      <c r="A83" s="332"/>
      <c r="B83" s="312" t="s">
        <v>682</v>
      </c>
      <c r="C83" s="312" t="s">
        <v>326</v>
      </c>
      <c r="D83" s="312" t="s">
        <v>683</v>
      </c>
      <c r="E83" s="298" t="s">
        <v>684</v>
      </c>
      <c r="F83" s="298" t="s">
        <v>685</v>
      </c>
      <c r="G83" s="103" t="s">
        <v>686</v>
      </c>
      <c r="H83" s="103" t="s">
        <v>687</v>
      </c>
      <c r="I83" s="103" t="s">
        <v>688</v>
      </c>
      <c r="J83" s="103" t="s">
        <v>689</v>
      </c>
      <c r="K83" s="103" t="s">
        <v>195</v>
      </c>
      <c r="L83" s="103" t="s">
        <v>195</v>
      </c>
      <c r="M83" s="103" t="s">
        <v>195</v>
      </c>
      <c r="N83" s="103" t="s">
        <v>195</v>
      </c>
      <c r="O83" s="103" t="s">
        <v>690</v>
      </c>
      <c r="P83" s="103" t="s">
        <v>691</v>
      </c>
      <c r="Q83" s="103" t="s">
        <v>692</v>
      </c>
      <c r="R83" s="100">
        <v>0</v>
      </c>
      <c r="S83" s="100">
        <v>0</v>
      </c>
      <c r="T83" s="298" t="s">
        <v>35</v>
      </c>
      <c r="U83" s="258">
        <v>337282</v>
      </c>
      <c r="V83" s="247">
        <f>89805+65000</f>
        <v>154805</v>
      </c>
      <c r="W83" s="241">
        <v>89805</v>
      </c>
      <c r="X83" s="269">
        <v>26341.7</v>
      </c>
      <c r="Y83" s="168"/>
      <c r="Z83" s="98">
        <f>X83+Y83</f>
        <v>26341.7</v>
      </c>
      <c r="AA83" s="255">
        <f>Z83/W83</f>
        <v>0.29332108457212852</v>
      </c>
      <c r="AB83" s="269">
        <v>0</v>
      </c>
      <c r="AC83" s="241" t="s">
        <v>693</v>
      </c>
    </row>
    <row r="84" spans="1:29" ht="106.5" customHeight="1" x14ac:dyDescent="0.25">
      <c r="A84" s="332"/>
      <c r="B84" s="313"/>
      <c r="C84" s="313"/>
      <c r="D84" s="313"/>
      <c r="E84" s="299"/>
      <c r="F84" s="299"/>
      <c r="G84" s="103" t="s">
        <v>694</v>
      </c>
      <c r="H84" s="103" t="s">
        <v>288</v>
      </c>
      <c r="I84" s="103" t="s">
        <v>695</v>
      </c>
      <c r="J84" s="103" t="s">
        <v>696</v>
      </c>
      <c r="K84" s="103" t="s">
        <v>195</v>
      </c>
      <c r="L84" s="103" t="s">
        <v>195</v>
      </c>
      <c r="M84" s="103" t="s">
        <v>195</v>
      </c>
      <c r="N84" s="103" t="s">
        <v>697</v>
      </c>
      <c r="O84" s="103" t="s">
        <v>690</v>
      </c>
      <c r="P84" s="103" t="s">
        <v>698</v>
      </c>
      <c r="Q84" s="103" t="s">
        <v>1306</v>
      </c>
      <c r="R84" s="100">
        <v>1</v>
      </c>
      <c r="S84" s="100">
        <v>0</v>
      </c>
      <c r="T84" s="299"/>
      <c r="U84" s="259"/>
      <c r="V84" s="248"/>
      <c r="W84" s="242"/>
      <c r="X84" s="270"/>
      <c r="Y84" s="169"/>
      <c r="Z84" s="169"/>
      <c r="AA84" s="256"/>
      <c r="AB84" s="270"/>
      <c r="AC84" s="242"/>
    </row>
    <row r="85" spans="1:29" ht="96.75" customHeight="1" x14ac:dyDescent="0.25">
      <c r="A85" s="332"/>
      <c r="B85" s="313"/>
      <c r="C85" s="313"/>
      <c r="D85" s="313"/>
      <c r="E85" s="299"/>
      <c r="F85" s="299"/>
      <c r="G85" s="103" t="s">
        <v>699</v>
      </c>
      <c r="H85" s="103" t="s">
        <v>288</v>
      </c>
      <c r="I85" s="103" t="s">
        <v>700</v>
      </c>
      <c r="J85" s="103" t="s">
        <v>701</v>
      </c>
      <c r="K85" s="103" t="s">
        <v>195</v>
      </c>
      <c r="L85" s="103" t="s">
        <v>195</v>
      </c>
      <c r="M85" s="103" t="s">
        <v>195</v>
      </c>
      <c r="N85" s="103" t="s">
        <v>702</v>
      </c>
      <c r="O85" s="103" t="s">
        <v>703</v>
      </c>
      <c r="P85" s="103" t="s">
        <v>704</v>
      </c>
      <c r="Q85" s="103" t="s">
        <v>1307</v>
      </c>
      <c r="R85" s="100">
        <v>1</v>
      </c>
      <c r="S85" s="100">
        <v>0</v>
      </c>
      <c r="T85" s="299"/>
      <c r="U85" s="259"/>
      <c r="V85" s="248"/>
      <c r="W85" s="242"/>
      <c r="X85" s="98"/>
      <c r="Y85" s="98"/>
      <c r="Z85" s="98"/>
      <c r="AA85" s="256"/>
      <c r="AB85" s="110"/>
      <c r="AC85" s="242"/>
    </row>
    <row r="86" spans="1:29" ht="114" customHeight="1" x14ac:dyDescent="0.25">
      <c r="A86" s="332"/>
      <c r="B86" s="313"/>
      <c r="C86" s="313"/>
      <c r="D86" s="313"/>
      <c r="E86" s="299"/>
      <c r="F86" s="299"/>
      <c r="G86" s="103" t="s">
        <v>705</v>
      </c>
      <c r="H86" s="103" t="s">
        <v>288</v>
      </c>
      <c r="I86" s="103" t="s">
        <v>706</v>
      </c>
      <c r="J86" s="103" t="s">
        <v>707</v>
      </c>
      <c r="K86" s="103" t="s">
        <v>195</v>
      </c>
      <c r="L86" s="103" t="s">
        <v>195</v>
      </c>
      <c r="M86" s="103" t="s">
        <v>195</v>
      </c>
      <c r="N86" s="103" t="s">
        <v>708</v>
      </c>
      <c r="O86" s="103" t="s">
        <v>709</v>
      </c>
      <c r="P86" s="103" t="s">
        <v>710</v>
      </c>
      <c r="Q86" s="365" t="s">
        <v>744</v>
      </c>
      <c r="R86" s="100">
        <v>1</v>
      </c>
      <c r="S86" s="100">
        <v>1</v>
      </c>
      <c r="T86" s="299"/>
      <c r="U86" s="259"/>
      <c r="V86" s="248"/>
      <c r="W86" s="242"/>
      <c r="X86" s="98"/>
      <c r="Y86" s="98"/>
      <c r="Z86" s="98"/>
      <c r="AA86" s="256"/>
      <c r="AB86" s="110"/>
      <c r="AC86" s="242"/>
    </row>
    <row r="87" spans="1:29" ht="66" customHeight="1" x14ac:dyDescent="0.25">
      <c r="A87" s="332"/>
      <c r="B87" s="313"/>
      <c r="C87" s="313"/>
      <c r="D87" s="313"/>
      <c r="E87" s="299"/>
      <c r="F87" s="299"/>
      <c r="G87" s="103" t="s">
        <v>711</v>
      </c>
      <c r="H87" s="103" t="s">
        <v>288</v>
      </c>
      <c r="I87" s="103" t="s">
        <v>712</v>
      </c>
      <c r="J87" s="103" t="s">
        <v>713</v>
      </c>
      <c r="K87" s="103" t="s">
        <v>195</v>
      </c>
      <c r="L87" s="103" t="s">
        <v>195</v>
      </c>
      <c r="M87" s="103" t="s">
        <v>195</v>
      </c>
      <c r="N87" s="103" t="s">
        <v>714</v>
      </c>
      <c r="O87" s="103" t="s">
        <v>709</v>
      </c>
      <c r="P87" s="103" t="s">
        <v>715</v>
      </c>
      <c r="Q87" s="103" t="s">
        <v>716</v>
      </c>
      <c r="R87" s="100">
        <v>1</v>
      </c>
      <c r="S87" s="100">
        <v>0</v>
      </c>
      <c r="T87" s="299"/>
      <c r="U87" s="259"/>
      <c r="V87" s="248"/>
      <c r="W87" s="242"/>
      <c r="X87" s="98"/>
      <c r="Y87" s="98"/>
      <c r="Z87" s="98"/>
      <c r="AA87" s="256"/>
      <c r="AB87" s="110"/>
      <c r="AC87" s="242"/>
    </row>
    <row r="88" spans="1:29" ht="98.25" customHeight="1" x14ac:dyDescent="0.25">
      <c r="A88" s="332"/>
      <c r="B88" s="313"/>
      <c r="C88" s="313"/>
      <c r="D88" s="313"/>
      <c r="E88" s="299"/>
      <c r="F88" s="299"/>
      <c r="G88" s="103" t="s">
        <v>717</v>
      </c>
      <c r="H88" s="103" t="s">
        <v>38</v>
      </c>
      <c r="I88" s="103" t="s">
        <v>718</v>
      </c>
      <c r="J88" s="103" t="s">
        <v>719</v>
      </c>
      <c r="K88" s="103" t="s">
        <v>195</v>
      </c>
      <c r="L88" s="103" t="s">
        <v>195</v>
      </c>
      <c r="M88" s="103" t="s">
        <v>195</v>
      </c>
      <c r="N88" s="103" t="s">
        <v>720</v>
      </c>
      <c r="O88" s="89" t="s">
        <v>721</v>
      </c>
      <c r="P88" s="89" t="s">
        <v>722</v>
      </c>
      <c r="Q88" s="366" t="s">
        <v>1308</v>
      </c>
      <c r="R88" s="100">
        <v>0</v>
      </c>
      <c r="S88" s="100">
        <v>0</v>
      </c>
      <c r="T88" s="299"/>
      <c r="U88" s="259"/>
      <c r="V88" s="248"/>
      <c r="W88" s="242"/>
      <c r="X88" s="98"/>
      <c r="Y88" s="98"/>
      <c r="Z88" s="98"/>
      <c r="AA88" s="256"/>
      <c r="AB88" s="110"/>
      <c r="AC88" s="242"/>
    </row>
    <row r="89" spans="1:29" ht="66" customHeight="1" x14ac:dyDescent="0.25">
      <c r="A89" s="332"/>
      <c r="B89" s="313"/>
      <c r="C89" s="61"/>
      <c r="D89" s="61"/>
      <c r="E89" s="118"/>
      <c r="F89" s="118"/>
      <c r="G89" s="103" t="s">
        <v>723</v>
      </c>
      <c r="H89" s="103" t="s">
        <v>38</v>
      </c>
      <c r="I89" s="103" t="s">
        <v>724</v>
      </c>
      <c r="J89" s="103" t="s">
        <v>422</v>
      </c>
      <c r="K89" s="103" t="s">
        <v>195</v>
      </c>
      <c r="L89" s="103" t="s">
        <v>725</v>
      </c>
      <c r="M89" s="89" t="s">
        <v>726</v>
      </c>
      <c r="N89" s="89" t="s">
        <v>727</v>
      </c>
      <c r="O89" s="89" t="s">
        <v>728</v>
      </c>
      <c r="P89" s="103" t="s">
        <v>729</v>
      </c>
      <c r="Q89" s="103" t="s">
        <v>730</v>
      </c>
      <c r="R89" s="100">
        <v>0</v>
      </c>
      <c r="S89" s="100">
        <v>1</v>
      </c>
      <c r="T89" s="118"/>
      <c r="U89" s="104"/>
      <c r="V89" s="170"/>
      <c r="W89" s="156"/>
      <c r="X89" s="98"/>
      <c r="Y89" s="98"/>
      <c r="Z89" s="98"/>
      <c r="AA89" s="171"/>
      <c r="AB89" s="110"/>
      <c r="AC89" s="172"/>
    </row>
    <row r="90" spans="1:29" s="28" customFormat="1" ht="48" customHeight="1" x14ac:dyDescent="0.25">
      <c r="A90" s="332"/>
      <c r="B90" s="314"/>
      <c r="C90" s="59" t="s">
        <v>731</v>
      </c>
      <c r="D90" s="59" t="s">
        <v>732</v>
      </c>
      <c r="E90" s="103" t="s">
        <v>733</v>
      </c>
      <c r="F90" s="103" t="s">
        <v>734</v>
      </c>
      <c r="G90" s="103" t="s">
        <v>735</v>
      </c>
      <c r="H90" s="103" t="s">
        <v>38</v>
      </c>
      <c r="I90" s="103" t="s">
        <v>724</v>
      </c>
      <c r="J90" s="103" t="s">
        <v>358</v>
      </c>
      <c r="K90" s="111" t="s">
        <v>195</v>
      </c>
      <c r="L90" s="111" t="s">
        <v>195</v>
      </c>
      <c r="M90" s="111" t="s">
        <v>195</v>
      </c>
      <c r="N90" s="89" t="s">
        <v>727</v>
      </c>
      <c r="O90" s="89" t="s">
        <v>728</v>
      </c>
      <c r="P90" s="89" t="s">
        <v>729</v>
      </c>
      <c r="Q90" s="103" t="s">
        <v>730</v>
      </c>
      <c r="R90" s="100">
        <v>0</v>
      </c>
      <c r="S90" s="100">
        <v>1</v>
      </c>
      <c r="T90" s="103" t="s">
        <v>230</v>
      </c>
      <c r="U90" s="37">
        <v>63688</v>
      </c>
      <c r="V90" s="135">
        <v>35039</v>
      </c>
      <c r="W90" s="152">
        <v>35039</v>
      </c>
      <c r="X90" s="154">
        <v>14943.5</v>
      </c>
      <c r="Y90" s="154"/>
      <c r="Z90" s="154">
        <f>X90+Y90</f>
        <v>14943.5</v>
      </c>
      <c r="AA90" s="136">
        <f>X90/W90</f>
        <v>0.42648192014612291</v>
      </c>
      <c r="AB90" s="155">
        <v>1</v>
      </c>
      <c r="AC90" s="173" t="s">
        <v>736</v>
      </c>
    </row>
    <row r="91" spans="1:29" s="28" customFormat="1" ht="130.5" customHeight="1" x14ac:dyDescent="0.25">
      <c r="A91" s="332"/>
      <c r="B91" s="68" t="s">
        <v>737</v>
      </c>
      <c r="C91" s="67" t="s">
        <v>272</v>
      </c>
      <c r="D91" s="67" t="s">
        <v>738</v>
      </c>
      <c r="E91" s="142" t="s">
        <v>739</v>
      </c>
      <c r="F91" s="142" t="s">
        <v>740</v>
      </c>
      <c r="G91" s="103" t="s">
        <v>741</v>
      </c>
      <c r="H91" s="103" t="s">
        <v>38</v>
      </c>
      <c r="I91" s="103" t="s">
        <v>742</v>
      </c>
      <c r="J91" s="103" t="s">
        <v>743</v>
      </c>
      <c r="K91" s="103"/>
      <c r="L91" s="103"/>
      <c r="M91" s="89"/>
      <c r="N91" s="89"/>
      <c r="O91" s="89"/>
      <c r="P91" s="103"/>
      <c r="Q91" s="103" t="s">
        <v>744</v>
      </c>
      <c r="R91" s="100">
        <v>1</v>
      </c>
      <c r="S91" s="100">
        <v>1</v>
      </c>
      <c r="T91" s="142" t="s">
        <v>548</v>
      </c>
      <c r="U91" s="143">
        <v>60000</v>
      </c>
      <c r="V91" s="174">
        <v>60000</v>
      </c>
      <c r="W91" s="146">
        <v>60000</v>
      </c>
      <c r="X91" s="134">
        <v>52718</v>
      </c>
      <c r="Y91" s="134"/>
      <c r="Z91" s="134"/>
      <c r="AA91" s="175">
        <f>X91/W91</f>
        <v>0.87863333333333338</v>
      </c>
      <c r="AB91" s="109">
        <v>1</v>
      </c>
      <c r="AC91" s="150" t="s">
        <v>745</v>
      </c>
    </row>
    <row r="92" spans="1:29" s="28" customFormat="1" ht="130.5" customHeight="1" x14ac:dyDescent="0.25">
      <c r="A92" s="332"/>
      <c r="B92" s="61"/>
      <c r="C92" s="68"/>
      <c r="D92" s="68"/>
      <c r="E92" s="118"/>
      <c r="F92" s="118"/>
      <c r="G92" s="103" t="s">
        <v>746</v>
      </c>
      <c r="H92" s="103" t="s">
        <v>38</v>
      </c>
      <c r="I92" s="103" t="s">
        <v>747</v>
      </c>
      <c r="J92" s="103" t="s">
        <v>743</v>
      </c>
      <c r="K92" s="103"/>
      <c r="L92" s="103"/>
      <c r="M92" s="89"/>
      <c r="N92" s="89"/>
      <c r="O92" s="89"/>
      <c r="P92" s="103"/>
      <c r="Q92" s="103" t="s">
        <v>748</v>
      </c>
      <c r="R92" s="100" t="s">
        <v>749</v>
      </c>
      <c r="S92" s="100">
        <v>1</v>
      </c>
      <c r="T92" s="176"/>
      <c r="U92" s="177"/>
      <c r="V92" s="178"/>
      <c r="W92" s="149"/>
      <c r="X92" s="113"/>
      <c r="Y92" s="113"/>
      <c r="Z92" s="113"/>
      <c r="AA92" s="179"/>
      <c r="AB92" s="115"/>
      <c r="AC92" s="137"/>
    </row>
    <row r="93" spans="1:29" ht="147" customHeight="1" x14ac:dyDescent="0.25">
      <c r="A93" s="332"/>
      <c r="B93" s="69" t="s">
        <v>750</v>
      </c>
      <c r="C93" s="312" t="s">
        <v>326</v>
      </c>
      <c r="D93" s="312" t="s">
        <v>751</v>
      </c>
      <c r="E93" s="298" t="s">
        <v>752</v>
      </c>
      <c r="F93" s="298" t="s">
        <v>753</v>
      </c>
      <c r="G93" s="103" t="s">
        <v>754</v>
      </c>
      <c r="H93" s="103" t="s">
        <v>172</v>
      </c>
      <c r="I93" s="103" t="s">
        <v>755</v>
      </c>
      <c r="J93" s="103" t="s">
        <v>756</v>
      </c>
      <c r="K93" s="111">
        <v>5700</v>
      </c>
      <c r="L93" s="103" t="s">
        <v>757</v>
      </c>
      <c r="M93" s="111">
        <v>5314</v>
      </c>
      <c r="N93" s="94" t="s">
        <v>758</v>
      </c>
      <c r="O93" s="94" t="s">
        <v>759</v>
      </c>
      <c r="P93" s="94" t="s">
        <v>760</v>
      </c>
      <c r="Q93" s="94" t="s">
        <v>760</v>
      </c>
      <c r="R93" s="100" t="s">
        <v>135</v>
      </c>
      <c r="S93" s="100" t="s">
        <v>761</v>
      </c>
      <c r="T93" s="298" t="s">
        <v>35</v>
      </c>
      <c r="U93" s="258">
        <v>206295</v>
      </c>
      <c r="V93" s="247">
        <f>47500+26305</f>
        <v>73805</v>
      </c>
      <c r="W93" s="241">
        <v>47500</v>
      </c>
      <c r="X93" s="180">
        <v>1037.03</v>
      </c>
      <c r="Y93" s="181"/>
      <c r="Z93" s="181">
        <f>X93+Y93</f>
        <v>1037.03</v>
      </c>
      <c r="AA93" s="255">
        <f>Z93/W93</f>
        <v>2.1832210526315787E-2</v>
      </c>
      <c r="AB93" s="110">
        <v>0</v>
      </c>
      <c r="AC93" s="241" t="s">
        <v>762</v>
      </c>
    </row>
    <row r="94" spans="1:29" ht="132" customHeight="1" x14ac:dyDescent="0.25">
      <c r="A94" s="332"/>
      <c r="B94" s="70"/>
      <c r="C94" s="313"/>
      <c r="D94" s="313"/>
      <c r="E94" s="299"/>
      <c r="F94" s="299"/>
      <c r="G94" s="103" t="s">
        <v>763</v>
      </c>
      <c r="H94" s="103" t="s">
        <v>38</v>
      </c>
      <c r="I94" s="103" t="s">
        <v>764</v>
      </c>
      <c r="J94" s="103" t="s">
        <v>765</v>
      </c>
      <c r="K94" s="103" t="s">
        <v>195</v>
      </c>
      <c r="L94" s="103" t="s">
        <v>195</v>
      </c>
      <c r="M94" s="103" t="s">
        <v>195</v>
      </c>
      <c r="N94" s="103" t="s">
        <v>766</v>
      </c>
      <c r="O94" s="103" t="s">
        <v>767</v>
      </c>
      <c r="P94" s="103" t="s">
        <v>768</v>
      </c>
      <c r="Q94" s="103" t="s">
        <v>769</v>
      </c>
      <c r="R94" s="100" t="s">
        <v>135</v>
      </c>
      <c r="S94" s="100" t="s">
        <v>770</v>
      </c>
      <c r="T94" s="299"/>
      <c r="U94" s="259"/>
      <c r="V94" s="248"/>
      <c r="W94" s="242"/>
      <c r="X94" s="98"/>
      <c r="Y94" s="98"/>
      <c r="Z94" s="98"/>
      <c r="AA94" s="256"/>
      <c r="AB94" s="110"/>
      <c r="AC94" s="242"/>
    </row>
    <row r="95" spans="1:29" ht="148.5" customHeight="1" x14ac:dyDescent="0.25">
      <c r="A95" s="333"/>
      <c r="B95" s="71"/>
      <c r="C95" s="314"/>
      <c r="D95" s="314"/>
      <c r="E95" s="300"/>
      <c r="F95" s="300"/>
      <c r="G95" s="103" t="s">
        <v>771</v>
      </c>
      <c r="H95" s="103" t="s">
        <v>38</v>
      </c>
      <c r="I95" s="103" t="s">
        <v>772</v>
      </c>
      <c r="J95" s="103" t="s">
        <v>773</v>
      </c>
      <c r="K95" s="103" t="s">
        <v>195</v>
      </c>
      <c r="L95" s="103" t="s">
        <v>195</v>
      </c>
      <c r="M95" s="103" t="s">
        <v>195</v>
      </c>
      <c r="N95" s="103" t="s">
        <v>766</v>
      </c>
      <c r="O95" s="103" t="s">
        <v>774</v>
      </c>
      <c r="P95" s="103" t="s">
        <v>775</v>
      </c>
      <c r="Q95" s="103" t="s">
        <v>776</v>
      </c>
      <c r="R95" s="100">
        <v>1</v>
      </c>
      <c r="S95" s="100">
        <v>0</v>
      </c>
      <c r="T95" s="300"/>
      <c r="U95" s="260"/>
      <c r="V95" s="249"/>
      <c r="W95" s="243"/>
      <c r="X95" s="113"/>
      <c r="Y95" s="113"/>
      <c r="Z95" s="113"/>
      <c r="AA95" s="257"/>
      <c r="AB95" s="115"/>
      <c r="AC95" s="243"/>
    </row>
    <row r="96" spans="1:29" ht="272.25" customHeight="1" x14ac:dyDescent="0.25">
      <c r="A96" s="66" t="s">
        <v>777</v>
      </c>
      <c r="B96" s="312" t="s">
        <v>778</v>
      </c>
      <c r="C96" s="61" t="s">
        <v>615</v>
      </c>
      <c r="D96" s="62" t="s">
        <v>779</v>
      </c>
      <c r="E96" s="118" t="s">
        <v>780</v>
      </c>
      <c r="F96" s="118" t="s">
        <v>781</v>
      </c>
      <c r="G96" s="103" t="s">
        <v>782</v>
      </c>
      <c r="H96" s="118" t="s">
        <v>783</v>
      </c>
      <c r="I96" s="118" t="s">
        <v>784</v>
      </c>
      <c r="J96" s="103" t="s">
        <v>785</v>
      </c>
      <c r="K96" s="111" t="s">
        <v>303</v>
      </c>
      <c r="L96" s="111">
        <v>58</v>
      </c>
      <c r="M96" s="89" t="s">
        <v>303</v>
      </c>
      <c r="N96" s="89"/>
      <c r="O96" s="89">
        <v>57</v>
      </c>
      <c r="P96" s="89">
        <v>63</v>
      </c>
      <c r="Q96" s="89" t="s">
        <v>786</v>
      </c>
      <c r="R96" s="100">
        <v>0</v>
      </c>
      <c r="S96" s="100">
        <v>0</v>
      </c>
      <c r="T96" s="118" t="s">
        <v>35</v>
      </c>
      <c r="U96" s="104">
        <v>824496</v>
      </c>
      <c r="V96" s="170">
        <f>31393+13983</f>
        <v>45376</v>
      </c>
      <c r="W96" s="166">
        <v>31939</v>
      </c>
      <c r="X96" s="152">
        <v>32537.08</v>
      </c>
      <c r="Y96" s="97"/>
      <c r="Z96" s="98">
        <f>X96+Y96</f>
        <v>32537.08</v>
      </c>
      <c r="AA96" s="136">
        <f>Z96/W96</f>
        <v>1.0187256958577289</v>
      </c>
      <c r="AB96" s="110">
        <v>1</v>
      </c>
      <c r="AC96" s="196" t="s">
        <v>640</v>
      </c>
    </row>
    <row r="97" spans="1:29" ht="95.25" customHeight="1" x14ac:dyDescent="0.25">
      <c r="A97" s="72"/>
      <c r="B97" s="313"/>
      <c r="C97" s="59" t="s">
        <v>496</v>
      </c>
      <c r="D97" s="59" t="s">
        <v>787</v>
      </c>
      <c r="E97" s="103" t="s">
        <v>788</v>
      </c>
      <c r="F97" s="103" t="s">
        <v>789</v>
      </c>
      <c r="G97" s="103" t="s">
        <v>790</v>
      </c>
      <c r="H97" s="89" t="s">
        <v>783</v>
      </c>
      <c r="I97" s="89" t="s">
        <v>791</v>
      </c>
      <c r="J97" s="103" t="s">
        <v>602</v>
      </c>
      <c r="K97" s="89" t="str">
        <f>K96</f>
        <v>-</v>
      </c>
      <c r="L97" s="89">
        <f>L96</f>
        <v>58</v>
      </c>
      <c r="M97" s="89" t="str">
        <f>M96</f>
        <v>-</v>
      </c>
      <c r="N97" s="89" t="s">
        <v>792</v>
      </c>
      <c r="O97" s="89" t="s">
        <v>793</v>
      </c>
      <c r="P97" s="89" t="s">
        <v>794</v>
      </c>
      <c r="Q97" s="89" t="s">
        <v>795</v>
      </c>
      <c r="R97" s="100">
        <v>0</v>
      </c>
      <c r="S97" s="100">
        <v>0</v>
      </c>
      <c r="T97" s="103" t="s">
        <v>35</v>
      </c>
      <c r="U97" s="37">
        <v>94247</v>
      </c>
      <c r="V97" s="135">
        <f>17907+11324</f>
        <v>29231</v>
      </c>
      <c r="W97" s="152">
        <v>17907</v>
      </c>
      <c r="X97" s="152">
        <v>15653.05</v>
      </c>
      <c r="Y97" s="153"/>
      <c r="Z97" s="154">
        <f>X97+Y97</f>
        <v>15653.05</v>
      </c>
      <c r="AA97" s="147">
        <f>X97/W97</f>
        <v>0.8741302284023007</v>
      </c>
      <c r="AB97" s="155">
        <v>1</v>
      </c>
      <c r="AC97" s="146" t="s">
        <v>663</v>
      </c>
    </row>
    <row r="98" spans="1:29" ht="140.25" customHeight="1" x14ac:dyDescent="0.25">
      <c r="A98" s="72"/>
      <c r="B98" s="322" t="s">
        <v>796</v>
      </c>
      <c r="C98" s="322" t="s">
        <v>533</v>
      </c>
      <c r="D98" s="322" t="s">
        <v>797</v>
      </c>
      <c r="E98" s="252" t="s">
        <v>798</v>
      </c>
      <c r="F98" s="252" t="s">
        <v>799</v>
      </c>
      <c r="G98" s="89" t="s">
        <v>800</v>
      </c>
      <c r="H98" s="89" t="s">
        <v>331</v>
      </c>
      <c r="I98" s="89" t="s">
        <v>801</v>
      </c>
      <c r="J98" s="89" t="s">
        <v>802</v>
      </c>
      <c r="K98" s="89" t="str">
        <f>I98</f>
        <v xml:space="preserve">26 (2016 m. III ketv.)
</v>
      </c>
      <c r="L98" s="103" t="s">
        <v>803</v>
      </c>
      <c r="M98" s="89" t="s">
        <v>804</v>
      </c>
      <c r="N98" s="89" t="s">
        <v>805</v>
      </c>
      <c r="O98" s="89" t="s">
        <v>806</v>
      </c>
      <c r="P98" s="89" t="s">
        <v>807</v>
      </c>
      <c r="Q98" s="89" t="s">
        <v>807</v>
      </c>
      <c r="R98" s="100" t="s">
        <v>135</v>
      </c>
      <c r="S98" s="100" t="s">
        <v>808</v>
      </c>
      <c r="T98" s="252" t="s">
        <v>548</v>
      </c>
      <c r="U98" s="258">
        <v>148028</v>
      </c>
      <c r="V98" s="247">
        <v>18451</v>
      </c>
      <c r="W98" s="265">
        <v>18451</v>
      </c>
      <c r="X98" s="267">
        <v>17906.59</v>
      </c>
      <c r="Y98" s="182"/>
      <c r="Z98" s="182">
        <f>X98+Y98</f>
        <v>17906.59</v>
      </c>
      <c r="AA98" s="255">
        <f>X98/W98</f>
        <v>0.97049428215272882</v>
      </c>
      <c r="AB98" s="145">
        <v>1</v>
      </c>
      <c r="AC98" s="267" t="s">
        <v>640</v>
      </c>
    </row>
    <row r="99" spans="1:29" ht="66.75" customHeight="1" x14ac:dyDescent="0.25">
      <c r="A99" s="72"/>
      <c r="B99" s="330"/>
      <c r="C99" s="330"/>
      <c r="D99" s="330"/>
      <c r="E99" s="254"/>
      <c r="F99" s="254"/>
      <c r="G99" s="89" t="s">
        <v>809</v>
      </c>
      <c r="H99" s="89" t="s">
        <v>810</v>
      </c>
      <c r="I99" s="89" t="s">
        <v>811</v>
      </c>
      <c r="J99" s="89" t="s">
        <v>812</v>
      </c>
      <c r="K99" s="89" t="s">
        <v>813</v>
      </c>
      <c r="L99" s="89" t="s">
        <v>814</v>
      </c>
      <c r="M99" s="89" t="s">
        <v>815</v>
      </c>
      <c r="N99" s="99" t="s">
        <v>816</v>
      </c>
      <c r="O99" s="99" t="s">
        <v>817</v>
      </c>
      <c r="P99" s="99" t="s">
        <v>818</v>
      </c>
      <c r="Q99" s="99" t="s">
        <v>819</v>
      </c>
      <c r="R99" s="100" t="s">
        <v>135</v>
      </c>
      <c r="S99" s="100" t="s">
        <v>820</v>
      </c>
      <c r="T99" s="254"/>
      <c r="U99" s="260"/>
      <c r="V99" s="249"/>
      <c r="W99" s="266"/>
      <c r="X99" s="268"/>
      <c r="Y99" s="183"/>
      <c r="Z99" s="183"/>
      <c r="AA99" s="257"/>
      <c r="AB99" s="87"/>
      <c r="AC99" s="274"/>
    </row>
    <row r="100" spans="1:29" ht="82.5" customHeight="1" x14ac:dyDescent="0.25">
      <c r="A100" s="235" t="s">
        <v>821</v>
      </c>
      <c r="B100" s="323" t="s">
        <v>822</v>
      </c>
      <c r="C100" s="322" t="s">
        <v>326</v>
      </c>
      <c r="D100" s="322" t="s">
        <v>823</v>
      </c>
      <c r="E100" s="252" t="s">
        <v>824</v>
      </c>
      <c r="F100" s="252" t="s">
        <v>825</v>
      </c>
      <c r="G100" s="89" t="s">
        <v>826</v>
      </c>
      <c r="H100" s="89" t="s">
        <v>783</v>
      </c>
      <c r="I100" s="89" t="s">
        <v>827</v>
      </c>
      <c r="J100" s="89" t="s">
        <v>828</v>
      </c>
      <c r="K100" s="89" t="s">
        <v>829</v>
      </c>
      <c r="L100" s="89" t="s">
        <v>830</v>
      </c>
      <c r="M100" s="89" t="s">
        <v>831</v>
      </c>
      <c r="N100" s="99" t="s">
        <v>832</v>
      </c>
      <c r="O100" s="99" t="s">
        <v>833</v>
      </c>
      <c r="P100" s="99" t="s">
        <v>834</v>
      </c>
      <c r="Q100" s="99" t="s">
        <v>835</v>
      </c>
      <c r="R100" s="100">
        <v>0</v>
      </c>
      <c r="S100" s="100">
        <v>0</v>
      </c>
      <c r="T100" s="252" t="s">
        <v>35</v>
      </c>
      <c r="U100" s="258">
        <v>309449</v>
      </c>
      <c r="V100" s="247">
        <f>87805+54805</f>
        <v>142610</v>
      </c>
      <c r="W100" s="146">
        <f>87805</f>
        <v>87805</v>
      </c>
      <c r="X100" s="269">
        <v>0</v>
      </c>
      <c r="Y100" s="134"/>
      <c r="Z100" s="134">
        <f>X100+Y100</f>
        <v>0</v>
      </c>
      <c r="AA100" s="255">
        <f>Z100/W100</f>
        <v>0</v>
      </c>
      <c r="AB100" s="109">
        <v>0</v>
      </c>
      <c r="AC100" s="241" t="s">
        <v>836</v>
      </c>
    </row>
    <row r="101" spans="1:29" ht="82.5" customHeight="1" x14ac:dyDescent="0.25">
      <c r="A101" s="236"/>
      <c r="B101" s="323"/>
      <c r="C101" s="323"/>
      <c r="D101" s="323"/>
      <c r="E101" s="253"/>
      <c r="F101" s="253"/>
      <c r="G101" s="89" t="s">
        <v>837</v>
      </c>
      <c r="H101" s="89" t="s">
        <v>38</v>
      </c>
      <c r="I101" s="89" t="s">
        <v>838</v>
      </c>
      <c r="J101" s="89" t="s">
        <v>828</v>
      </c>
      <c r="K101" s="89" t="s">
        <v>839</v>
      </c>
      <c r="L101" s="89" t="s">
        <v>840</v>
      </c>
      <c r="M101" s="89" t="s">
        <v>841</v>
      </c>
      <c r="N101" s="99" t="s">
        <v>842</v>
      </c>
      <c r="O101" s="99" t="s">
        <v>843</v>
      </c>
      <c r="P101" s="99" t="s">
        <v>844</v>
      </c>
      <c r="Q101" s="99" t="s">
        <v>845</v>
      </c>
      <c r="R101" s="100">
        <v>0</v>
      </c>
      <c r="S101" s="100">
        <v>0</v>
      </c>
      <c r="T101" s="364"/>
      <c r="U101" s="259"/>
      <c r="V101" s="248"/>
      <c r="W101" s="156"/>
      <c r="X101" s="275"/>
      <c r="Y101" s="184"/>
      <c r="Z101" s="184"/>
      <c r="AA101" s="256"/>
      <c r="AB101" s="185"/>
      <c r="AC101" s="242"/>
    </row>
    <row r="102" spans="1:29" ht="82.5" customHeight="1" x14ac:dyDescent="0.25">
      <c r="A102" s="236"/>
      <c r="B102" s="323"/>
      <c r="C102" s="323"/>
      <c r="D102" s="323"/>
      <c r="E102" s="253"/>
      <c r="F102" s="253"/>
      <c r="G102" s="186" t="s">
        <v>846</v>
      </c>
      <c r="H102" s="187" t="s">
        <v>38</v>
      </c>
      <c r="I102" s="186" t="s">
        <v>847</v>
      </c>
      <c r="J102" s="188" t="s">
        <v>428</v>
      </c>
      <c r="K102" s="188">
        <v>76</v>
      </c>
      <c r="L102" s="188">
        <v>76</v>
      </c>
      <c r="M102" s="188">
        <v>76</v>
      </c>
      <c r="N102" s="189" t="s">
        <v>283</v>
      </c>
      <c r="O102" s="189" t="s">
        <v>848</v>
      </c>
      <c r="P102" s="189" t="s">
        <v>849</v>
      </c>
      <c r="Q102" s="99" t="s">
        <v>214</v>
      </c>
      <c r="R102" s="100">
        <v>0</v>
      </c>
      <c r="S102" s="100">
        <v>0</v>
      </c>
      <c r="T102" s="364"/>
      <c r="U102" s="259"/>
      <c r="V102" s="248"/>
      <c r="W102" s="156"/>
      <c r="X102" s="184"/>
      <c r="Y102" s="184"/>
      <c r="Z102" s="184"/>
      <c r="AA102" s="256"/>
      <c r="AB102" s="185"/>
      <c r="AC102" s="242"/>
    </row>
    <row r="103" spans="1:29" ht="82.5" customHeight="1" x14ac:dyDescent="0.25">
      <c r="A103" s="236"/>
      <c r="B103" s="58"/>
      <c r="C103" s="74"/>
      <c r="D103" s="58"/>
      <c r="E103" s="101"/>
      <c r="F103" s="101"/>
      <c r="G103" s="186" t="s">
        <v>850</v>
      </c>
      <c r="H103" s="187" t="s">
        <v>38</v>
      </c>
      <c r="I103" s="186" t="s">
        <v>851</v>
      </c>
      <c r="J103" s="188" t="s">
        <v>852</v>
      </c>
      <c r="K103" s="188"/>
      <c r="L103" s="188"/>
      <c r="M103" s="188"/>
      <c r="N103" s="189"/>
      <c r="O103" s="189"/>
      <c r="P103" s="189"/>
      <c r="Q103" s="189" t="s">
        <v>853</v>
      </c>
      <c r="R103" s="100">
        <v>0</v>
      </c>
      <c r="S103" s="100">
        <v>0</v>
      </c>
      <c r="T103" s="190"/>
      <c r="U103" s="104"/>
      <c r="V103" s="105"/>
      <c r="W103" s="156"/>
      <c r="X103" s="184"/>
      <c r="Y103" s="184"/>
      <c r="Z103" s="184"/>
      <c r="AA103" s="120"/>
      <c r="AB103" s="185"/>
      <c r="AC103" s="191"/>
    </row>
    <row r="104" spans="1:29" ht="82.5" customHeight="1" x14ac:dyDescent="0.25">
      <c r="A104" s="236"/>
      <c r="B104" s="58"/>
      <c r="C104" s="75" t="s">
        <v>406</v>
      </c>
      <c r="D104" s="73" t="s">
        <v>854</v>
      </c>
      <c r="E104" s="187" t="s">
        <v>855</v>
      </c>
      <c r="F104" s="187" t="s">
        <v>856</v>
      </c>
      <c r="G104" s="186" t="s">
        <v>857</v>
      </c>
      <c r="H104" s="187" t="s">
        <v>38</v>
      </c>
      <c r="I104" s="186" t="s">
        <v>858</v>
      </c>
      <c r="J104" s="188" t="s">
        <v>859</v>
      </c>
      <c r="K104" s="188"/>
      <c r="L104" s="188"/>
      <c r="M104" s="188"/>
      <c r="N104" s="189"/>
      <c r="O104" s="189"/>
      <c r="P104" s="99" t="s">
        <v>834</v>
      </c>
      <c r="Q104" s="99" t="s">
        <v>835</v>
      </c>
      <c r="R104" s="100">
        <v>0</v>
      </c>
      <c r="S104" s="100">
        <v>0</v>
      </c>
      <c r="T104" s="192" t="s">
        <v>548</v>
      </c>
      <c r="U104" s="125">
        <v>79100</v>
      </c>
      <c r="V104" s="126">
        <v>79100</v>
      </c>
      <c r="W104" s="193">
        <v>79100</v>
      </c>
      <c r="X104" s="127">
        <v>77972.350000000006</v>
      </c>
      <c r="Y104" s="194"/>
      <c r="Z104" s="194"/>
      <c r="AA104" s="147">
        <f>X104/W104</f>
        <v>0.98574399494311005</v>
      </c>
      <c r="AB104" s="195">
        <v>1</v>
      </c>
      <c r="AC104" s="196" t="s">
        <v>640</v>
      </c>
    </row>
    <row r="105" spans="1:29" ht="82.5" customHeight="1" x14ac:dyDescent="0.25">
      <c r="A105" s="236"/>
      <c r="B105" s="20"/>
      <c r="C105" s="76"/>
      <c r="D105" s="76"/>
      <c r="E105" s="88"/>
      <c r="F105" s="88"/>
      <c r="G105" s="186" t="s">
        <v>860</v>
      </c>
      <c r="H105" s="187" t="s">
        <v>38</v>
      </c>
      <c r="I105" s="186" t="s">
        <v>858</v>
      </c>
      <c r="J105" s="188" t="s">
        <v>859</v>
      </c>
      <c r="K105" s="188"/>
      <c r="L105" s="188"/>
      <c r="M105" s="188"/>
      <c r="N105" s="189"/>
      <c r="O105" s="189"/>
      <c r="P105" s="99" t="s">
        <v>844</v>
      </c>
      <c r="Q105" s="99" t="s">
        <v>845</v>
      </c>
      <c r="R105" s="100">
        <v>0</v>
      </c>
      <c r="S105" s="100">
        <v>0</v>
      </c>
      <c r="T105" s="190"/>
      <c r="U105" s="104"/>
      <c r="V105" s="105"/>
      <c r="W105" s="156"/>
      <c r="X105" s="184"/>
      <c r="Y105" s="184"/>
      <c r="Z105" s="184"/>
      <c r="AA105" s="120"/>
      <c r="AB105" s="185"/>
      <c r="AC105" s="197"/>
    </row>
    <row r="106" spans="1:29" ht="65.25" customHeight="1" x14ac:dyDescent="0.25">
      <c r="A106" s="236"/>
      <c r="B106" s="312" t="s">
        <v>861</v>
      </c>
      <c r="C106" s="312" t="s">
        <v>326</v>
      </c>
      <c r="D106" s="322" t="s">
        <v>862</v>
      </c>
      <c r="E106" s="252" t="s">
        <v>863</v>
      </c>
      <c r="F106" s="252" t="s">
        <v>864</v>
      </c>
      <c r="G106" s="89" t="s">
        <v>865</v>
      </c>
      <c r="H106" s="89" t="s">
        <v>288</v>
      </c>
      <c r="I106" s="89" t="s">
        <v>866</v>
      </c>
      <c r="J106" s="89" t="s">
        <v>867</v>
      </c>
      <c r="K106" s="89" t="s">
        <v>195</v>
      </c>
      <c r="L106" s="89" t="s">
        <v>195</v>
      </c>
      <c r="M106" s="89" t="s">
        <v>195</v>
      </c>
      <c r="N106" s="89" t="s">
        <v>868</v>
      </c>
      <c r="O106" s="89" t="s">
        <v>869</v>
      </c>
      <c r="P106" s="89" t="s">
        <v>870</v>
      </c>
      <c r="Q106" s="89" t="s">
        <v>871</v>
      </c>
      <c r="R106" s="100">
        <v>0</v>
      </c>
      <c r="S106" s="100">
        <v>1</v>
      </c>
      <c r="T106" s="258" t="s">
        <v>35</v>
      </c>
      <c r="U106" s="258">
        <v>182375</v>
      </c>
      <c r="V106" s="247">
        <f>47500+47500</f>
        <v>95000</v>
      </c>
      <c r="W106" s="146">
        <v>47500</v>
      </c>
      <c r="X106" s="269">
        <v>48656.4</v>
      </c>
      <c r="Y106" s="134"/>
      <c r="Z106" s="134">
        <f>X106+Y106</f>
        <v>48656.4</v>
      </c>
      <c r="AA106" s="255">
        <f>Z106/W106</f>
        <v>1.0243452631578949</v>
      </c>
      <c r="AB106" s="109">
        <v>1</v>
      </c>
      <c r="AC106" s="271" t="s">
        <v>640</v>
      </c>
    </row>
    <row r="107" spans="1:29" ht="48" customHeight="1" x14ac:dyDescent="0.25">
      <c r="A107" s="236"/>
      <c r="B107" s="313"/>
      <c r="C107" s="313"/>
      <c r="D107" s="323"/>
      <c r="E107" s="253"/>
      <c r="F107" s="253"/>
      <c r="G107" s="89" t="s">
        <v>872</v>
      </c>
      <c r="H107" s="89" t="s">
        <v>288</v>
      </c>
      <c r="I107" s="89" t="s">
        <v>873</v>
      </c>
      <c r="J107" s="89" t="s">
        <v>874</v>
      </c>
      <c r="K107" s="89" t="s">
        <v>195</v>
      </c>
      <c r="L107" s="89" t="s">
        <v>195</v>
      </c>
      <c r="M107" s="89" t="s">
        <v>195</v>
      </c>
      <c r="N107" s="89" t="s">
        <v>875</v>
      </c>
      <c r="O107" s="89" t="s">
        <v>869</v>
      </c>
      <c r="P107" s="89" t="s">
        <v>876</v>
      </c>
      <c r="Q107" s="89" t="s">
        <v>877</v>
      </c>
      <c r="R107" s="100">
        <v>1</v>
      </c>
      <c r="S107" s="100">
        <v>1</v>
      </c>
      <c r="T107" s="259"/>
      <c r="U107" s="259"/>
      <c r="V107" s="248"/>
      <c r="W107" s="156"/>
      <c r="X107" s="275"/>
      <c r="Y107" s="184"/>
      <c r="Z107" s="184"/>
      <c r="AA107" s="256"/>
      <c r="AB107" s="185"/>
      <c r="AC107" s="272"/>
    </row>
    <row r="108" spans="1:29" ht="39" customHeight="1" x14ac:dyDescent="0.25">
      <c r="A108" s="236"/>
      <c r="B108" s="313"/>
      <c r="C108" s="313"/>
      <c r="D108" s="323"/>
      <c r="E108" s="253"/>
      <c r="F108" s="253"/>
      <c r="G108" s="89" t="s">
        <v>878</v>
      </c>
      <c r="H108" s="89" t="s">
        <v>288</v>
      </c>
      <c r="I108" s="89" t="s">
        <v>879</v>
      </c>
      <c r="J108" s="89" t="s">
        <v>867</v>
      </c>
      <c r="K108" s="89" t="s">
        <v>195</v>
      </c>
      <c r="L108" s="89" t="s">
        <v>195</v>
      </c>
      <c r="M108" s="89" t="s">
        <v>195</v>
      </c>
      <c r="N108" s="89" t="s">
        <v>195</v>
      </c>
      <c r="O108" s="89" t="s">
        <v>690</v>
      </c>
      <c r="P108" s="89" t="s">
        <v>880</v>
      </c>
      <c r="Q108" s="89" t="s">
        <v>881</v>
      </c>
      <c r="R108" s="100">
        <v>0</v>
      </c>
      <c r="S108" s="100">
        <v>0</v>
      </c>
      <c r="T108" s="259"/>
      <c r="U108" s="259"/>
      <c r="V108" s="248"/>
      <c r="W108" s="156"/>
      <c r="X108" s="98"/>
      <c r="Y108" s="98"/>
      <c r="Z108" s="98"/>
      <c r="AA108" s="256"/>
      <c r="AB108" s="110"/>
      <c r="AC108" s="272"/>
    </row>
    <row r="109" spans="1:29" ht="39.75" customHeight="1" x14ac:dyDescent="0.25">
      <c r="A109" s="236"/>
      <c r="B109" s="313"/>
      <c r="C109" s="313"/>
      <c r="D109" s="323"/>
      <c r="E109" s="253"/>
      <c r="F109" s="253"/>
      <c r="G109" s="89" t="s">
        <v>882</v>
      </c>
      <c r="H109" s="89" t="s">
        <v>288</v>
      </c>
      <c r="I109" s="89" t="s">
        <v>883</v>
      </c>
      <c r="J109" s="89" t="s">
        <v>602</v>
      </c>
      <c r="K109" s="89" t="s">
        <v>195</v>
      </c>
      <c r="L109" s="89" t="s">
        <v>195</v>
      </c>
      <c r="M109" s="89" t="s">
        <v>195</v>
      </c>
      <c r="N109" s="89" t="s">
        <v>195</v>
      </c>
      <c r="O109" s="89" t="s">
        <v>690</v>
      </c>
      <c r="P109" s="89" t="s">
        <v>884</v>
      </c>
      <c r="Q109" s="89" t="s">
        <v>885</v>
      </c>
      <c r="R109" s="100">
        <v>0</v>
      </c>
      <c r="S109" s="100">
        <v>0</v>
      </c>
      <c r="T109" s="259"/>
      <c r="U109" s="259"/>
      <c r="V109" s="248"/>
      <c r="W109" s="156"/>
      <c r="X109" s="98"/>
      <c r="Y109" s="98"/>
      <c r="Z109" s="98"/>
      <c r="AA109" s="256"/>
      <c r="AB109" s="110"/>
      <c r="AC109" s="272"/>
    </row>
    <row r="110" spans="1:29" ht="39.75" customHeight="1" x14ac:dyDescent="0.25">
      <c r="A110" s="236"/>
      <c r="B110" s="313"/>
      <c r="C110" s="313"/>
      <c r="D110" s="323"/>
      <c r="E110" s="253"/>
      <c r="F110" s="253"/>
      <c r="G110" s="89" t="s">
        <v>886</v>
      </c>
      <c r="H110" s="89" t="s">
        <v>288</v>
      </c>
      <c r="I110" s="89" t="s">
        <v>887</v>
      </c>
      <c r="J110" s="89" t="s">
        <v>888</v>
      </c>
      <c r="K110" s="89"/>
      <c r="L110" s="89"/>
      <c r="M110" s="89"/>
      <c r="N110" s="89"/>
      <c r="O110" s="89"/>
      <c r="P110" s="89"/>
      <c r="Q110" s="89" t="s">
        <v>889</v>
      </c>
      <c r="R110" s="100">
        <v>1</v>
      </c>
      <c r="S110" s="100">
        <v>0</v>
      </c>
      <c r="T110" s="259"/>
      <c r="U110" s="259"/>
      <c r="V110" s="248"/>
      <c r="W110" s="156"/>
      <c r="X110" s="98"/>
      <c r="Y110" s="98"/>
      <c r="Z110" s="98"/>
      <c r="AA110" s="256"/>
      <c r="AB110" s="110"/>
      <c r="AC110" s="272"/>
    </row>
    <row r="111" spans="1:29" ht="39.75" customHeight="1" x14ac:dyDescent="0.25">
      <c r="A111" s="236"/>
      <c r="B111" s="313"/>
      <c r="C111" s="313"/>
      <c r="D111" s="323"/>
      <c r="E111" s="253"/>
      <c r="F111" s="253"/>
      <c r="G111" s="89" t="s">
        <v>890</v>
      </c>
      <c r="H111" s="89" t="s">
        <v>288</v>
      </c>
      <c r="I111" s="89" t="s">
        <v>891</v>
      </c>
      <c r="J111" s="89" t="s">
        <v>892</v>
      </c>
      <c r="K111" s="89"/>
      <c r="L111" s="89"/>
      <c r="M111" s="89"/>
      <c r="N111" s="89"/>
      <c r="O111" s="89"/>
      <c r="P111" s="89"/>
      <c r="Q111" s="89" t="s">
        <v>893</v>
      </c>
      <c r="R111" s="100">
        <v>1</v>
      </c>
      <c r="S111" s="100">
        <v>1</v>
      </c>
      <c r="T111" s="259"/>
      <c r="U111" s="259"/>
      <c r="V111" s="248"/>
      <c r="W111" s="156"/>
      <c r="X111" s="98"/>
      <c r="Y111" s="98"/>
      <c r="Z111" s="98"/>
      <c r="AA111" s="256"/>
      <c r="AB111" s="110"/>
      <c r="AC111" s="272"/>
    </row>
    <row r="112" spans="1:29" ht="49.5" customHeight="1" x14ac:dyDescent="0.25">
      <c r="A112" s="236"/>
      <c r="B112" s="313"/>
      <c r="C112" s="313"/>
      <c r="D112" s="323"/>
      <c r="E112" s="253"/>
      <c r="F112" s="253"/>
      <c r="G112" s="89" t="s">
        <v>894</v>
      </c>
      <c r="H112" s="89" t="s">
        <v>288</v>
      </c>
      <c r="I112" s="89" t="s">
        <v>895</v>
      </c>
      <c r="J112" s="89" t="s">
        <v>413</v>
      </c>
      <c r="K112" s="89" t="s">
        <v>896</v>
      </c>
      <c r="L112" s="89" t="s">
        <v>897</v>
      </c>
      <c r="M112" s="89" t="s">
        <v>898</v>
      </c>
      <c r="N112" s="99" t="s">
        <v>899</v>
      </c>
      <c r="O112" s="99" t="s">
        <v>900</v>
      </c>
      <c r="P112" s="99" t="s">
        <v>901</v>
      </c>
      <c r="Q112" s="99" t="s">
        <v>902</v>
      </c>
      <c r="R112" s="100">
        <v>0</v>
      </c>
      <c r="S112" s="100">
        <v>0</v>
      </c>
      <c r="T112" s="259"/>
      <c r="U112" s="259"/>
      <c r="V112" s="248"/>
      <c r="W112" s="156"/>
      <c r="X112" s="98"/>
      <c r="Y112" s="98"/>
      <c r="Z112" s="98"/>
      <c r="AA112" s="256"/>
      <c r="AB112" s="110"/>
      <c r="AC112" s="272"/>
    </row>
    <row r="113" spans="1:29" ht="99" customHeight="1" x14ac:dyDescent="0.25">
      <c r="A113" s="236"/>
      <c r="B113" s="313"/>
      <c r="C113" s="314"/>
      <c r="D113" s="330"/>
      <c r="E113" s="254"/>
      <c r="F113" s="254"/>
      <c r="G113" s="89" t="s">
        <v>903</v>
      </c>
      <c r="H113" s="89" t="s">
        <v>288</v>
      </c>
      <c r="I113" s="89" t="s">
        <v>904</v>
      </c>
      <c r="J113" s="89" t="s">
        <v>905</v>
      </c>
      <c r="K113" s="89" t="s">
        <v>906</v>
      </c>
      <c r="L113" s="89" t="s">
        <v>907</v>
      </c>
      <c r="M113" s="89" t="s">
        <v>908</v>
      </c>
      <c r="N113" s="99" t="s">
        <v>909</v>
      </c>
      <c r="O113" s="99" t="s">
        <v>910</v>
      </c>
      <c r="P113" s="99" t="s">
        <v>911</v>
      </c>
      <c r="Q113" s="99" t="s">
        <v>912</v>
      </c>
      <c r="R113" s="100">
        <v>1</v>
      </c>
      <c r="S113" s="100">
        <v>0</v>
      </c>
      <c r="T113" s="260"/>
      <c r="U113" s="260"/>
      <c r="V113" s="249"/>
      <c r="W113" s="156"/>
      <c r="X113" s="115"/>
      <c r="Y113" s="98"/>
      <c r="Z113" s="115"/>
      <c r="AA113" s="257"/>
      <c r="AB113" s="110"/>
      <c r="AC113" s="273"/>
    </row>
    <row r="114" spans="1:29" ht="87.75" customHeight="1" x14ac:dyDescent="0.25">
      <c r="A114" s="235" t="s">
        <v>913</v>
      </c>
      <c r="B114" s="322" t="s">
        <v>914</v>
      </c>
      <c r="C114" s="322" t="s">
        <v>326</v>
      </c>
      <c r="D114" s="322" t="s">
        <v>914</v>
      </c>
      <c r="E114" s="252" t="s">
        <v>915</v>
      </c>
      <c r="F114" s="252" t="s">
        <v>916</v>
      </c>
      <c r="G114" s="89" t="s">
        <v>917</v>
      </c>
      <c r="H114" s="89" t="s">
        <v>918</v>
      </c>
      <c r="I114" s="89" t="s">
        <v>919</v>
      </c>
      <c r="J114" s="89" t="s">
        <v>920</v>
      </c>
      <c r="K114" s="89">
        <v>47</v>
      </c>
      <c r="L114" s="89" t="s">
        <v>921</v>
      </c>
      <c r="M114" s="89" t="s">
        <v>921</v>
      </c>
      <c r="N114" s="89" t="s">
        <v>922</v>
      </c>
      <c r="O114" s="89" t="s">
        <v>690</v>
      </c>
      <c r="P114" s="89" t="s">
        <v>923</v>
      </c>
      <c r="Q114" s="89" t="s">
        <v>924</v>
      </c>
      <c r="R114" s="100">
        <v>0</v>
      </c>
      <c r="S114" s="100">
        <v>0</v>
      </c>
      <c r="T114" s="258" t="s">
        <v>35</v>
      </c>
      <c r="U114" s="258">
        <f>643665-14000</f>
        <v>629665</v>
      </c>
      <c r="V114" s="247">
        <f>87959+70959-14000</f>
        <v>144918</v>
      </c>
      <c r="W114" s="146">
        <f>87959-14000</f>
        <v>73959</v>
      </c>
      <c r="X114" s="269">
        <v>16692.27</v>
      </c>
      <c r="Y114" s="134"/>
      <c r="Z114" s="134">
        <f>X114+Y114</f>
        <v>16692.27</v>
      </c>
      <c r="AA114" s="255">
        <f>Z114/W114</f>
        <v>0.22569626414635136</v>
      </c>
      <c r="AB114" s="109">
        <v>0</v>
      </c>
      <c r="AC114" s="241" t="s">
        <v>836</v>
      </c>
    </row>
    <row r="115" spans="1:29" ht="49.5" customHeight="1" x14ac:dyDescent="0.25">
      <c r="A115" s="236"/>
      <c r="B115" s="323"/>
      <c r="C115" s="323"/>
      <c r="D115" s="323"/>
      <c r="E115" s="253"/>
      <c r="F115" s="253"/>
      <c r="G115" s="89" t="s">
        <v>925</v>
      </c>
      <c r="H115" s="89" t="s">
        <v>288</v>
      </c>
      <c r="I115" s="89" t="s">
        <v>926</v>
      </c>
      <c r="J115" s="89" t="s">
        <v>927</v>
      </c>
      <c r="K115" s="89" t="s">
        <v>926</v>
      </c>
      <c r="L115" s="89" t="s">
        <v>921</v>
      </c>
      <c r="M115" s="89" t="s">
        <v>921</v>
      </c>
      <c r="N115" s="89" t="s">
        <v>928</v>
      </c>
      <c r="O115" s="89" t="s">
        <v>690</v>
      </c>
      <c r="P115" s="89" t="s">
        <v>929</v>
      </c>
      <c r="Q115" s="89" t="s">
        <v>930</v>
      </c>
      <c r="R115" s="100">
        <v>1</v>
      </c>
      <c r="S115" s="100">
        <v>0</v>
      </c>
      <c r="T115" s="259"/>
      <c r="U115" s="259"/>
      <c r="V115" s="248"/>
      <c r="W115" s="156"/>
      <c r="X115" s="270"/>
      <c r="Y115" s="198"/>
      <c r="Z115" s="198"/>
      <c r="AA115" s="256"/>
      <c r="AB115" s="185"/>
      <c r="AC115" s="242"/>
    </row>
    <row r="116" spans="1:29" ht="69" customHeight="1" x14ac:dyDescent="0.25">
      <c r="A116" s="236"/>
      <c r="B116" s="323"/>
      <c r="C116" s="323"/>
      <c r="D116" s="323"/>
      <c r="E116" s="253"/>
      <c r="F116" s="253"/>
      <c r="G116" s="89" t="s">
        <v>931</v>
      </c>
      <c r="H116" s="89" t="s">
        <v>932</v>
      </c>
      <c r="I116" s="89" t="s">
        <v>933</v>
      </c>
      <c r="J116" s="89" t="s">
        <v>934</v>
      </c>
      <c r="K116" s="89" t="s">
        <v>195</v>
      </c>
      <c r="L116" s="89">
        <v>51</v>
      </c>
      <c r="M116" s="89">
        <v>178</v>
      </c>
      <c r="N116" s="89" t="s">
        <v>935</v>
      </c>
      <c r="O116" s="89" t="s">
        <v>135</v>
      </c>
      <c r="P116" s="89" t="s">
        <v>936</v>
      </c>
      <c r="Q116" s="89">
        <v>251</v>
      </c>
      <c r="R116" s="100">
        <v>1</v>
      </c>
      <c r="S116" s="100">
        <v>1</v>
      </c>
      <c r="T116" s="259"/>
      <c r="U116" s="259"/>
      <c r="V116" s="248"/>
      <c r="W116" s="156"/>
      <c r="X116" s="98"/>
      <c r="Y116" s="98"/>
      <c r="Z116" s="98"/>
      <c r="AA116" s="256"/>
      <c r="AB116" s="110"/>
      <c r="AC116" s="242"/>
    </row>
    <row r="117" spans="1:29" ht="80.25" customHeight="1" x14ac:dyDescent="0.25">
      <c r="A117" s="236"/>
      <c r="B117" s="323"/>
      <c r="C117" s="323"/>
      <c r="D117" s="323"/>
      <c r="E117" s="253"/>
      <c r="F117" s="253"/>
      <c r="G117" s="89" t="s">
        <v>937</v>
      </c>
      <c r="H117" s="89" t="s">
        <v>288</v>
      </c>
      <c r="I117" s="89" t="s">
        <v>938</v>
      </c>
      <c r="J117" s="89" t="s">
        <v>611</v>
      </c>
      <c r="K117" s="89">
        <v>35</v>
      </c>
      <c r="L117" s="89" t="s">
        <v>939</v>
      </c>
      <c r="M117" s="89" t="s">
        <v>195</v>
      </c>
      <c r="N117" s="89" t="s">
        <v>940</v>
      </c>
      <c r="O117" s="89" t="s">
        <v>869</v>
      </c>
      <c r="P117" s="89" t="s">
        <v>1302</v>
      </c>
      <c r="Q117" s="89" t="s">
        <v>1303</v>
      </c>
      <c r="R117" s="100" t="s">
        <v>1304</v>
      </c>
      <c r="S117" s="100">
        <v>1</v>
      </c>
      <c r="T117" s="259"/>
      <c r="U117" s="259"/>
      <c r="V117" s="248"/>
      <c r="W117" s="156"/>
      <c r="X117" s="98"/>
      <c r="Y117" s="98"/>
      <c r="Z117" s="98"/>
      <c r="AA117" s="256"/>
      <c r="AB117" s="110"/>
      <c r="AC117" s="242"/>
    </row>
    <row r="118" spans="1:29" ht="102" customHeight="1" x14ac:dyDescent="0.25">
      <c r="A118" s="236"/>
      <c r="B118" s="330"/>
      <c r="C118" s="330"/>
      <c r="D118" s="330"/>
      <c r="E118" s="254"/>
      <c r="F118" s="254"/>
      <c r="G118" s="89" t="s">
        <v>941</v>
      </c>
      <c r="H118" s="89" t="s">
        <v>38</v>
      </c>
      <c r="I118" s="89" t="s">
        <v>942</v>
      </c>
      <c r="J118" s="89" t="s">
        <v>943</v>
      </c>
      <c r="K118" s="89"/>
      <c r="L118" s="89"/>
      <c r="M118" s="89"/>
      <c r="N118" s="89" t="s">
        <v>944</v>
      </c>
      <c r="O118" s="89" t="s">
        <v>703</v>
      </c>
      <c r="P118" s="89" t="s">
        <v>945</v>
      </c>
      <c r="Q118" s="89" t="s">
        <v>946</v>
      </c>
      <c r="R118" s="100">
        <v>0</v>
      </c>
      <c r="S118" s="100">
        <v>0</v>
      </c>
      <c r="T118" s="260"/>
      <c r="U118" s="260"/>
      <c r="V118" s="249"/>
      <c r="W118" s="156"/>
      <c r="X118" s="98"/>
      <c r="Y118" s="98"/>
      <c r="Z118" s="98"/>
      <c r="AA118" s="257"/>
      <c r="AB118" s="110"/>
      <c r="AC118" s="243"/>
    </row>
    <row r="119" spans="1:29" ht="145.5" customHeight="1" x14ac:dyDescent="0.25">
      <c r="A119" s="236"/>
      <c r="B119" s="322" t="s">
        <v>947</v>
      </c>
      <c r="C119" s="322" t="s">
        <v>948</v>
      </c>
      <c r="D119" s="322" t="s">
        <v>949</v>
      </c>
      <c r="E119" s="252" t="s">
        <v>950</v>
      </c>
      <c r="F119" s="252" t="s">
        <v>951</v>
      </c>
      <c r="G119" s="89" t="s">
        <v>952</v>
      </c>
      <c r="H119" s="89" t="s">
        <v>953</v>
      </c>
      <c r="I119" s="89" t="s">
        <v>954</v>
      </c>
      <c r="J119" s="89" t="s">
        <v>955</v>
      </c>
      <c r="K119" s="89" t="s">
        <v>195</v>
      </c>
      <c r="L119" s="89" t="s">
        <v>195</v>
      </c>
      <c r="M119" s="89" t="s">
        <v>195</v>
      </c>
      <c r="N119" s="89" t="s">
        <v>956</v>
      </c>
      <c r="O119" s="89" t="s">
        <v>869</v>
      </c>
      <c r="P119" s="89" t="s">
        <v>957</v>
      </c>
      <c r="Q119" s="89" t="s">
        <v>871</v>
      </c>
      <c r="R119" s="100">
        <v>0</v>
      </c>
      <c r="S119" s="100">
        <v>0</v>
      </c>
      <c r="T119" s="258" t="s">
        <v>35</v>
      </c>
      <c r="U119" s="258">
        <f>361616+14000</f>
        <v>375616</v>
      </c>
      <c r="V119" s="247">
        <f>45308+45308+14000</f>
        <v>104616</v>
      </c>
      <c r="W119" s="146">
        <f>45308+14000</f>
        <v>59308</v>
      </c>
      <c r="X119" s="269">
        <v>58882.23</v>
      </c>
      <c r="Y119" s="134"/>
      <c r="Z119" s="134">
        <f>X119+Y119</f>
        <v>58882.23</v>
      </c>
      <c r="AA119" s="256">
        <f>Z119/W119</f>
        <v>0.99282103594793292</v>
      </c>
      <c r="AB119" s="109">
        <v>1</v>
      </c>
      <c r="AC119" s="241" t="s">
        <v>958</v>
      </c>
    </row>
    <row r="120" spans="1:29" ht="49.5" customHeight="1" x14ac:dyDescent="0.25">
      <c r="A120" s="236"/>
      <c r="B120" s="323"/>
      <c r="C120" s="323"/>
      <c r="D120" s="323"/>
      <c r="E120" s="253"/>
      <c r="F120" s="253"/>
      <c r="G120" s="89" t="s">
        <v>959</v>
      </c>
      <c r="H120" s="89" t="s">
        <v>288</v>
      </c>
      <c r="I120" s="89" t="s">
        <v>960</v>
      </c>
      <c r="J120" s="89" t="s">
        <v>961</v>
      </c>
      <c r="K120" s="89" t="s">
        <v>195</v>
      </c>
      <c r="L120" s="89" t="s">
        <v>962</v>
      </c>
      <c r="M120" s="89" t="s">
        <v>963</v>
      </c>
      <c r="N120" s="89" t="s">
        <v>964</v>
      </c>
      <c r="O120" s="89" t="s">
        <v>965</v>
      </c>
      <c r="P120" s="89" t="s">
        <v>966</v>
      </c>
      <c r="Q120" s="89" t="s">
        <v>967</v>
      </c>
      <c r="R120" s="100">
        <v>0</v>
      </c>
      <c r="S120" s="100">
        <v>0</v>
      </c>
      <c r="T120" s="259"/>
      <c r="U120" s="259"/>
      <c r="V120" s="248"/>
      <c r="W120" s="156"/>
      <c r="X120" s="270"/>
      <c r="Y120" s="198"/>
      <c r="Z120" s="198"/>
      <c r="AA120" s="256"/>
      <c r="AB120" s="185"/>
      <c r="AC120" s="242"/>
    </row>
    <row r="121" spans="1:29" ht="87" customHeight="1" x14ac:dyDescent="0.25">
      <c r="A121" s="236"/>
      <c r="B121" s="323"/>
      <c r="C121" s="330"/>
      <c r="D121" s="330"/>
      <c r="E121" s="254"/>
      <c r="F121" s="254"/>
      <c r="G121" s="89" t="s">
        <v>968</v>
      </c>
      <c r="H121" s="89" t="s">
        <v>288</v>
      </c>
      <c r="I121" s="89" t="s">
        <v>969</v>
      </c>
      <c r="J121" s="89" t="s">
        <v>970</v>
      </c>
      <c r="K121" s="89" t="s">
        <v>971</v>
      </c>
      <c r="L121" s="89" t="s">
        <v>129</v>
      </c>
      <c r="M121" s="89" t="s">
        <v>972</v>
      </c>
      <c r="N121" s="89" t="s">
        <v>973</v>
      </c>
      <c r="O121" s="89" t="s">
        <v>974</v>
      </c>
      <c r="P121" s="89" t="s">
        <v>975</v>
      </c>
      <c r="Q121" s="89" t="s">
        <v>976</v>
      </c>
      <c r="R121" s="100">
        <v>0</v>
      </c>
      <c r="S121" s="100">
        <v>0</v>
      </c>
      <c r="T121" s="260"/>
      <c r="U121" s="260"/>
      <c r="V121" s="249"/>
      <c r="W121" s="149"/>
      <c r="X121" s="98"/>
      <c r="Y121" s="98"/>
      <c r="Z121" s="98"/>
      <c r="AA121" s="257"/>
      <c r="AB121" s="110"/>
      <c r="AC121" s="243"/>
    </row>
    <row r="122" spans="1:29" s="28" customFormat="1" ht="69" customHeight="1" x14ac:dyDescent="0.25">
      <c r="A122" s="236"/>
      <c r="B122" s="323"/>
      <c r="C122" s="56" t="s">
        <v>731</v>
      </c>
      <c r="D122" s="54" t="s">
        <v>977</v>
      </c>
      <c r="E122" s="89" t="s">
        <v>978</v>
      </c>
      <c r="F122" s="89" t="s">
        <v>979</v>
      </c>
      <c r="G122" s="89" t="s">
        <v>980</v>
      </c>
      <c r="H122" s="89" t="s">
        <v>38</v>
      </c>
      <c r="I122" s="89" t="s">
        <v>981</v>
      </c>
      <c r="J122" s="89" t="s">
        <v>982</v>
      </c>
      <c r="K122" s="89" t="s">
        <v>983</v>
      </c>
      <c r="L122" s="89" t="s">
        <v>984</v>
      </c>
      <c r="M122" s="89" t="s">
        <v>985</v>
      </c>
      <c r="N122" s="89" t="s">
        <v>986</v>
      </c>
      <c r="O122" s="89" t="s">
        <v>987</v>
      </c>
      <c r="P122" s="89" t="s">
        <v>988</v>
      </c>
      <c r="Q122" s="89" t="s">
        <v>989</v>
      </c>
      <c r="R122" s="100">
        <v>1</v>
      </c>
      <c r="S122" s="100">
        <v>1</v>
      </c>
      <c r="T122" s="37" t="s">
        <v>230</v>
      </c>
      <c r="U122" s="37">
        <v>63641</v>
      </c>
      <c r="V122" s="135">
        <v>8000</v>
      </c>
      <c r="W122" s="152">
        <v>8000</v>
      </c>
      <c r="X122" s="154">
        <v>5030.5</v>
      </c>
      <c r="Y122" s="154"/>
      <c r="Z122" s="154">
        <f>X122+Y122</f>
        <v>5030.5</v>
      </c>
      <c r="AA122" s="136">
        <f>X122/W122</f>
        <v>0.6288125</v>
      </c>
      <c r="AB122" s="155">
        <v>1</v>
      </c>
      <c r="AC122" s="173" t="s">
        <v>990</v>
      </c>
    </row>
    <row r="123" spans="1:29" s="28" customFormat="1" ht="189" customHeight="1" x14ac:dyDescent="0.25">
      <c r="A123" s="77" t="s">
        <v>991</v>
      </c>
      <c r="B123" s="54" t="s">
        <v>992</v>
      </c>
      <c r="C123" s="54" t="s">
        <v>993</v>
      </c>
      <c r="D123" s="54" t="s">
        <v>994</v>
      </c>
      <c r="E123" s="89" t="s">
        <v>995</v>
      </c>
      <c r="F123" s="89" t="s">
        <v>996</v>
      </c>
      <c r="G123" s="89" t="s">
        <v>997</v>
      </c>
      <c r="H123" s="89" t="s">
        <v>38</v>
      </c>
      <c r="I123" s="89" t="s">
        <v>998</v>
      </c>
      <c r="J123" s="89" t="s">
        <v>970</v>
      </c>
      <c r="K123" s="89"/>
      <c r="L123" s="89"/>
      <c r="M123" s="89"/>
      <c r="N123" s="89" t="s">
        <v>494</v>
      </c>
      <c r="O123" s="89" t="s">
        <v>999</v>
      </c>
      <c r="P123" s="89" t="s">
        <v>509</v>
      </c>
      <c r="Q123" s="89" t="s">
        <v>1000</v>
      </c>
      <c r="R123" s="100">
        <v>0</v>
      </c>
      <c r="S123" s="100">
        <v>0</v>
      </c>
      <c r="T123" s="89" t="s">
        <v>1001</v>
      </c>
      <c r="U123" s="37">
        <v>50000</v>
      </c>
      <c r="V123" s="199">
        <f>28000+20010</f>
        <v>48010</v>
      </c>
      <c r="W123" s="152">
        <v>28000</v>
      </c>
      <c r="X123" s="109">
        <v>0</v>
      </c>
      <c r="Y123" s="109"/>
      <c r="Z123" s="109">
        <f>X123+Y123</f>
        <v>0</v>
      </c>
      <c r="AA123" s="171">
        <f>X123/W123</f>
        <v>0</v>
      </c>
      <c r="AB123" s="109">
        <v>0</v>
      </c>
      <c r="AC123" s="172" t="s">
        <v>1002</v>
      </c>
    </row>
    <row r="124" spans="1:29" s="28" customFormat="1" ht="181.5" customHeight="1" x14ac:dyDescent="0.25">
      <c r="A124" s="57"/>
      <c r="B124" s="322" t="s">
        <v>1003</v>
      </c>
      <c r="C124" s="54" t="s">
        <v>1004</v>
      </c>
      <c r="D124" s="54" t="s">
        <v>1005</v>
      </c>
      <c r="E124" s="89" t="s">
        <v>1006</v>
      </c>
      <c r="F124" s="89" t="s">
        <v>1007</v>
      </c>
      <c r="G124" s="89" t="s">
        <v>1008</v>
      </c>
      <c r="H124" s="89" t="s">
        <v>38</v>
      </c>
      <c r="I124" s="89" t="s">
        <v>1009</v>
      </c>
      <c r="J124" s="89" t="s">
        <v>1010</v>
      </c>
      <c r="K124" s="89"/>
      <c r="L124" s="89"/>
      <c r="M124" s="89"/>
      <c r="N124" s="89"/>
      <c r="O124" s="89"/>
      <c r="P124" s="89" t="s">
        <v>1011</v>
      </c>
      <c r="Q124" s="89" t="s">
        <v>1012</v>
      </c>
      <c r="R124" s="100">
        <v>0</v>
      </c>
      <c r="S124" s="100">
        <v>0</v>
      </c>
      <c r="T124" s="89" t="s">
        <v>209</v>
      </c>
      <c r="U124" s="37">
        <v>396480</v>
      </c>
      <c r="V124" s="199">
        <f>125000+55000</f>
        <v>180000</v>
      </c>
      <c r="W124" s="152">
        <v>125000</v>
      </c>
      <c r="X124" s="154">
        <v>124363.8</v>
      </c>
      <c r="Y124" s="200"/>
      <c r="Z124" s="154"/>
      <c r="AA124" s="201">
        <f>X124/W124</f>
        <v>0.99491039999999997</v>
      </c>
      <c r="AB124" s="155">
        <v>1</v>
      </c>
      <c r="AC124" s="173" t="s">
        <v>1013</v>
      </c>
    </row>
    <row r="125" spans="1:29" s="28" customFormat="1" ht="89.25" customHeight="1" x14ac:dyDescent="0.25">
      <c r="A125" s="57"/>
      <c r="B125" s="323"/>
      <c r="C125" s="335" t="s">
        <v>272</v>
      </c>
      <c r="D125" s="335" t="s">
        <v>1014</v>
      </c>
      <c r="E125" s="252" t="s">
        <v>1015</v>
      </c>
      <c r="F125" s="252" t="s">
        <v>30</v>
      </c>
      <c r="G125" s="89" t="s">
        <v>1016</v>
      </c>
      <c r="H125" s="89" t="s">
        <v>1017</v>
      </c>
      <c r="I125" s="89" t="s">
        <v>1018</v>
      </c>
      <c r="J125" s="89" t="s">
        <v>1019</v>
      </c>
      <c r="K125" s="89"/>
      <c r="L125" s="89"/>
      <c r="M125" s="89"/>
      <c r="N125" s="89"/>
      <c r="O125" s="89"/>
      <c r="P125" s="202"/>
      <c r="Q125" s="89" t="s">
        <v>1020</v>
      </c>
      <c r="R125" s="100">
        <v>1</v>
      </c>
      <c r="S125" s="100">
        <v>1</v>
      </c>
      <c r="T125" s="252" t="s">
        <v>35</v>
      </c>
      <c r="U125" s="258">
        <v>120000</v>
      </c>
      <c r="V125" s="247">
        <v>120000</v>
      </c>
      <c r="W125" s="241">
        <v>60000</v>
      </c>
      <c r="X125" s="276">
        <v>53966</v>
      </c>
      <c r="Y125" s="114"/>
      <c r="Z125" s="98"/>
      <c r="AA125" s="278">
        <f>X125/W125</f>
        <v>0.89943333333333331</v>
      </c>
      <c r="AB125" s="269">
        <v>1</v>
      </c>
      <c r="AC125" s="241" t="s">
        <v>745</v>
      </c>
    </row>
    <row r="126" spans="1:29" s="28" customFormat="1" ht="48.75" customHeight="1" x14ac:dyDescent="0.25">
      <c r="A126" s="57"/>
      <c r="B126" s="330"/>
      <c r="C126" s="337"/>
      <c r="D126" s="337"/>
      <c r="E126" s="254"/>
      <c r="F126" s="254"/>
      <c r="G126" s="89" t="s">
        <v>1021</v>
      </c>
      <c r="H126" s="89" t="s">
        <v>1017</v>
      </c>
      <c r="I126" s="89" t="s">
        <v>1022</v>
      </c>
      <c r="J126" s="89" t="s">
        <v>1019</v>
      </c>
      <c r="K126" s="89"/>
      <c r="L126" s="89"/>
      <c r="M126" s="89"/>
      <c r="N126" s="89"/>
      <c r="O126" s="89"/>
      <c r="P126" s="89"/>
      <c r="Q126" s="89" t="s">
        <v>1023</v>
      </c>
      <c r="R126" s="100">
        <v>0</v>
      </c>
      <c r="S126" s="100">
        <v>0</v>
      </c>
      <c r="T126" s="254"/>
      <c r="U126" s="260"/>
      <c r="V126" s="249"/>
      <c r="W126" s="243"/>
      <c r="X126" s="277"/>
      <c r="Y126" s="114"/>
      <c r="Z126" s="98"/>
      <c r="AA126" s="279"/>
      <c r="AB126" s="263"/>
      <c r="AC126" s="243"/>
    </row>
    <row r="127" spans="1:29" ht="66.75" customHeight="1" x14ac:dyDescent="0.25">
      <c r="A127" s="328" t="s">
        <v>1024</v>
      </c>
      <c r="B127" s="322" t="s">
        <v>1025</v>
      </c>
      <c r="C127" s="322" t="s">
        <v>586</v>
      </c>
      <c r="D127" s="322" t="s">
        <v>1026</v>
      </c>
      <c r="E127" s="252" t="s">
        <v>1027</v>
      </c>
      <c r="F127" s="252" t="s">
        <v>1028</v>
      </c>
      <c r="G127" s="89" t="s">
        <v>1029</v>
      </c>
      <c r="H127" s="89" t="s">
        <v>1017</v>
      </c>
      <c r="I127" s="89" t="s">
        <v>1030</v>
      </c>
      <c r="J127" s="89" t="s">
        <v>1031</v>
      </c>
      <c r="K127" s="89" t="s">
        <v>195</v>
      </c>
      <c r="L127" s="89" t="s">
        <v>1032</v>
      </c>
      <c r="M127" s="89" t="s">
        <v>1033</v>
      </c>
      <c r="N127" s="99" t="s">
        <v>1034</v>
      </c>
      <c r="O127" s="99" t="s">
        <v>1035</v>
      </c>
      <c r="P127" s="99" t="s">
        <v>1036</v>
      </c>
      <c r="Q127" s="99" t="s">
        <v>1037</v>
      </c>
      <c r="R127" s="100">
        <v>1</v>
      </c>
      <c r="S127" s="100">
        <v>0</v>
      </c>
      <c r="T127" s="252" t="s">
        <v>209</v>
      </c>
      <c r="U127" s="258">
        <v>3524774.36</v>
      </c>
      <c r="V127" s="247">
        <f>1526000+1353434</f>
        <v>2879434</v>
      </c>
      <c r="W127" s="241">
        <v>1516000</v>
      </c>
      <c r="X127" s="241">
        <v>273956.13</v>
      </c>
      <c r="Y127" s="97"/>
      <c r="Z127" s="134">
        <f>X127+Y127</f>
        <v>273956.13</v>
      </c>
      <c r="AA127" s="255">
        <f>X127/W127</f>
        <v>0.18070984828496042</v>
      </c>
      <c r="AB127" s="109">
        <v>0</v>
      </c>
      <c r="AC127" s="241" t="s">
        <v>1038</v>
      </c>
    </row>
    <row r="128" spans="1:29" ht="62.25" customHeight="1" x14ac:dyDescent="0.25">
      <c r="A128" s="329"/>
      <c r="B128" s="323"/>
      <c r="C128" s="323"/>
      <c r="D128" s="323"/>
      <c r="E128" s="253"/>
      <c r="F128" s="253"/>
      <c r="G128" s="89" t="s">
        <v>1039</v>
      </c>
      <c r="H128" s="89" t="s">
        <v>288</v>
      </c>
      <c r="I128" s="89" t="s">
        <v>1040</v>
      </c>
      <c r="J128" s="89" t="s">
        <v>413</v>
      </c>
      <c r="K128" s="89" t="s">
        <v>195</v>
      </c>
      <c r="L128" s="89" t="s">
        <v>195</v>
      </c>
      <c r="M128" s="89" t="s">
        <v>1041</v>
      </c>
      <c r="N128" s="99" t="s">
        <v>1042</v>
      </c>
      <c r="O128" s="99" t="s">
        <v>1043</v>
      </c>
      <c r="P128" s="99" t="s">
        <v>1044</v>
      </c>
      <c r="Q128" s="99" t="s">
        <v>1045</v>
      </c>
      <c r="R128" s="100">
        <v>0</v>
      </c>
      <c r="S128" s="100">
        <v>1</v>
      </c>
      <c r="T128" s="253"/>
      <c r="U128" s="259"/>
      <c r="V128" s="248"/>
      <c r="W128" s="242"/>
      <c r="X128" s="242"/>
      <c r="Y128" s="98"/>
      <c r="Z128" s="98"/>
      <c r="AA128" s="256"/>
      <c r="AB128" s="262"/>
      <c r="AC128" s="242"/>
    </row>
    <row r="129" spans="1:29" ht="49.5" customHeight="1" x14ac:dyDescent="0.25">
      <c r="A129" s="329"/>
      <c r="B129" s="323"/>
      <c r="C129" s="323"/>
      <c r="D129" s="323"/>
      <c r="E129" s="253"/>
      <c r="F129" s="253"/>
      <c r="G129" s="89" t="s">
        <v>1046</v>
      </c>
      <c r="H129" s="89" t="s">
        <v>288</v>
      </c>
      <c r="I129" s="89" t="s">
        <v>1047</v>
      </c>
      <c r="J129" s="89" t="s">
        <v>1048</v>
      </c>
      <c r="K129" s="89" t="s">
        <v>195</v>
      </c>
      <c r="L129" s="89" t="s">
        <v>1049</v>
      </c>
      <c r="M129" s="89" t="s">
        <v>195</v>
      </c>
      <c r="N129" s="99" t="s">
        <v>1050</v>
      </c>
      <c r="O129" s="99" t="s">
        <v>1043</v>
      </c>
      <c r="P129" s="99" t="s">
        <v>1051</v>
      </c>
      <c r="Q129" s="99" t="s">
        <v>1052</v>
      </c>
      <c r="R129" s="100">
        <v>1</v>
      </c>
      <c r="S129" s="100">
        <v>0</v>
      </c>
      <c r="T129" s="253"/>
      <c r="U129" s="259"/>
      <c r="V129" s="248"/>
      <c r="W129" s="242"/>
      <c r="X129" s="242"/>
      <c r="Y129" s="113"/>
      <c r="Z129" s="113"/>
      <c r="AA129" s="256"/>
      <c r="AB129" s="262"/>
      <c r="AC129" s="242"/>
    </row>
    <row r="130" spans="1:29" ht="49.5" customHeight="1" x14ac:dyDescent="0.25">
      <c r="A130" s="78"/>
      <c r="B130" s="58"/>
      <c r="C130" s="330"/>
      <c r="D130" s="330"/>
      <c r="E130" s="254"/>
      <c r="F130" s="254"/>
      <c r="G130" s="89" t="s">
        <v>1053</v>
      </c>
      <c r="H130" s="89" t="s">
        <v>38</v>
      </c>
      <c r="I130" s="89" t="s">
        <v>1054</v>
      </c>
      <c r="J130" s="89" t="s">
        <v>490</v>
      </c>
      <c r="K130" s="89"/>
      <c r="L130" s="89"/>
      <c r="M130" s="89"/>
      <c r="N130" s="99"/>
      <c r="O130" s="99"/>
      <c r="P130" s="99" t="s">
        <v>1055</v>
      </c>
      <c r="Q130" s="99" t="s">
        <v>1056</v>
      </c>
      <c r="R130" s="100">
        <v>1</v>
      </c>
      <c r="S130" s="100">
        <v>0</v>
      </c>
      <c r="T130" s="254"/>
      <c r="U130" s="260"/>
      <c r="V130" s="249"/>
      <c r="W130" s="243"/>
      <c r="X130" s="243"/>
      <c r="Y130" s="98"/>
      <c r="Z130" s="98"/>
      <c r="AA130" s="257"/>
      <c r="AB130" s="263"/>
      <c r="AC130" s="243"/>
    </row>
    <row r="131" spans="1:29" ht="129" customHeight="1" x14ac:dyDescent="0.25">
      <c r="A131" s="235" t="s">
        <v>1057</v>
      </c>
      <c r="B131" s="322" t="s">
        <v>1058</v>
      </c>
      <c r="C131" s="322" t="s">
        <v>1059</v>
      </c>
      <c r="D131" s="322" t="s">
        <v>1060</v>
      </c>
      <c r="E131" s="252" t="s">
        <v>1061</v>
      </c>
      <c r="F131" s="252" t="s">
        <v>1062</v>
      </c>
      <c r="G131" s="89" t="s">
        <v>1063</v>
      </c>
      <c r="H131" s="89" t="s">
        <v>1064</v>
      </c>
      <c r="I131" s="89" t="s">
        <v>1065</v>
      </c>
      <c r="J131" s="89" t="s">
        <v>1066</v>
      </c>
      <c r="K131" s="89" t="s">
        <v>1067</v>
      </c>
      <c r="L131" s="89" t="s">
        <v>1068</v>
      </c>
      <c r="M131" s="89" t="s">
        <v>1069</v>
      </c>
      <c r="N131" s="89" t="s">
        <v>1070</v>
      </c>
      <c r="O131" s="89" t="s">
        <v>1071</v>
      </c>
      <c r="P131" s="89" t="s">
        <v>1072</v>
      </c>
      <c r="Q131" s="89" t="s">
        <v>795</v>
      </c>
      <c r="R131" s="100">
        <v>0</v>
      </c>
      <c r="S131" s="100">
        <v>0</v>
      </c>
      <c r="T131" s="252" t="s">
        <v>209</v>
      </c>
      <c r="U131" s="258">
        <v>1589139</v>
      </c>
      <c r="V131" s="247">
        <v>440000</v>
      </c>
      <c r="W131" s="146">
        <f>220000+100000</f>
        <v>320000</v>
      </c>
      <c r="X131" s="203">
        <v>308566.78000000003</v>
      </c>
      <c r="Y131" s="204"/>
      <c r="Z131" s="204">
        <f>X131+Y131</f>
        <v>308566.78000000003</v>
      </c>
      <c r="AA131" s="255">
        <f>Z131/W131</f>
        <v>0.96427118750000007</v>
      </c>
      <c r="AB131" s="146">
        <v>1</v>
      </c>
      <c r="AC131" s="241" t="s">
        <v>1073</v>
      </c>
    </row>
    <row r="132" spans="1:29" ht="114.75" customHeight="1" x14ac:dyDescent="0.25">
      <c r="A132" s="236"/>
      <c r="B132" s="323"/>
      <c r="C132" s="323"/>
      <c r="D132" s="323"/>
      <c r="E132" s="253"/>
      <c r="F132" s="253"/>
      <c r="G132" s="89" t="s">
        <v>1074</v>
      </c>
      <c r="H132" s="89" t="s">
        <v>288</v>
      </c>
      <c r="I132" s="89" t="s">
        <v>1075</v>
      </c>
      <c r="J132" s="89" t="s">
        <v>1076</v>
      </c>
      <c r="K132" s="89" t="s">
        <v>1077</v>
      </c>
      <c r="L132" s="89" t="s">
        <v>1078</v>
      </c>
      <c r="M132" s="89" t="s">
        <v>1079</v>
      </c>
      <c r="N132" s="89" t="s">
        <v>1080</v>
      </c>
      <c r="O132" s="89" t="s">
        <v>1081</v>
      </c>
      <c r="P132" s="89" t="s">
        <v>1082</v>
      </c>
      <c r="Q132" s="89" t="s">
        <v>1083</v>
      </c>
      <c r="R132" s="100">
        <v>1</v>
      </c>
      <c r="S132" s="100">
        <v>0</v>
      </c>
      <c r="T132" s="253"/>
      <c r="U132" s="259"/>
      <c r="V132" s="250"/>
      <c r="W132" s="156"/>
      <c r="X132" s="98"/>
      <c r="Y132" s="98"/>
      <c r="Z132" s="98"/>
      <c r="AA132" s="256"/>
      <c r="AB132" s="110"/>
      <c r="AC132" s="242"/>
    </row>
    <row r="133" spans="1:29" ht="117.75" customHeight="1" x14ac:dyDescent="0.25">
      <c r="A133" s="236"/>
      <c r="B133" s="323"/>
      <c r="C133" s="330"/>
      <c r="D133" s="330"/>
      <c r="E133" s="254"/>
      <c r="F133" s="254"/>
      <c r="G133" s="89" t="s">
        <v>1084</v>
      </c>
      <c r="H133" s="89" t="s">
        <v>288</v>
      </c>
      <c r="I133" s="89" t="s">
        <v>1085</v>
      </c>
      <c r="J133" s="89" t="s">
        <v>1086</v>
      </c>
      <c r="K133" s="89" t="s">
        <v>1087</v>
      </c>
      <c r="L133" s="89" t="s">
        <v>1088</v>
      </c>
      <c r="M133" s="89" t="s">
        <v>1089</v>
      </c>
      <c r="N133" s="89" t="s">
        <v>1090</v>
      </c>
      <c r="O133" s="89" t="s">
        <v>1091</v>
      </c>
      <c r="P133" s="89" t="s">
        <v>1092</v>
      </c>
      <c r="Q133" s="89" t="s">
        <v>1093</v>
      </c>
      <c r="R133" s="100">
        <v>1</v>
      </c>
      <c r="S133" s="100">
        <v>0</v>
      </c>
      <c r="T133" s="254"/>
      <c r="U133" s="260"/>
      <c r="V133" s="251"/>
      <c r="W133" s="149"/>
      <c r="X133" s="113"/>
      <c r="Y133" s="113"/>
      <c r="Z133" s="113"/>
      <c r="AA133" s="257"/>
      <c r="AB133" s="115"/>
      <c r="AC133" s="243"/>
    </row>
    <row r="134" spans="1:29" ht="101.25" customHeight="1" x14ac:dyDescent="0.25">
      <c r="A134" s="236"/>
      <c r="B134" s="323"/>
      <c r="C134" s="322" t="s">
        <v>1094</v>
      </c>
      <c r="D134" s="322" t="s">
        <v>1095</v>
      </c>
      <c r="E134" s="252" t="s">
        <v>1096</v>
      </c>
      <c r="F134" s="252" t="s">
        <v>1062</v>
      </c>
      <c r="G134" s="89" t="s">
        <v>1063</v>
      </c>
      <c r="H134" s="89" t="s">
        <v>1064</v>
      </c>
      <c r="I134" s="89" t="s">
        <v>1065</v>
      </c>
      <c r="J134" s="89" t="s">
        <v>1097</v>
      </c>
      <c r="K134" s="89" t="str">
        <f t="shared" ref="K134:L136" si="0">K131</f>
        <v>47,3 (2016 m. sausis)</v>
      </c>
      <c r="L134" s="89" t="str">
        <f t="shared" si="0"/>
        <v>83 (2017 m. gruodis)</v>
      </c>
      <c r="M134" s="89" t="s">
        <v>1069</v>
      </c>
      <c r="N134" s="89" t="s">
        <v>1070</v>
      </c>
      <c r="O134" s="89" t="s">
        <v>1071</v>
      </c>
      <c r="P134" s="89" t="s">
        <v>1072</v>
      </c>
      <c r="Q134" s="89" t="s">
        <v>795</v>
      </c>
      <c r="R134" s="100">
        <v>0</v>
      </c>
      <c r="S134" s="100">
        <v>0</v>
      </c>
      <c r="T134" s="252" t="s">
        <v>209</v>
      </c>
      <c r="U134" s="244">
        <v>402378.4</v>
      </c>
      <c r="V134" s="247">
        <f>121000+120000</f>
        <v>241000</v>
      </c>
      <c r="W134" s="156">
        <v>121000</v>
      </c>
      <c r="X134" s="98">
        <v>120974.81</v>
      </c>
      <c r="Y134" s="98"/>
      <c r="Z134" s="98">
        <f>X134+Y134</f>
        <v>120974.81</v>
      </c>
      <c r="AA134" s="255">
        <f>Z134/W134</f>
        <v>0.99979181818181817</v>
      </c>
      <c r="AB134" s="110">
        <v>1</v>
      </c>
      <c r="AC134" s="241" t="s">
        <v>1098</v>
      </c>
    </row>
    <row r="135" spans="1:29" ht="99" customHeight="1" x14ac:dyDescent="0.25">
      <c r="A135" s="236"/>
      <c r="B135" s="323"/>
      <c r="C135" s="323"/>
      <c r="D135" s="323"/>
      <c r="E135" s="253"/>
      <c r="F135" s="253"/>
      <c r="G135" s="89" t="s">
        <v>1074</v>
      </c>
      <c r="H135" s="89" t="s">
        <v>288</v>
      </c>
      <c r="I135" s="89" t="s">
        <v>1075</v>
      </c>
      <c r="J135" s="89" t="s">
        <v>1099</v>
      </c>
      <c r="K135" s="89" t="str">
        <f t="shared" si="0"/>
        <v>89 (2016 m. sausis)</v>
      </c>
      <c r="L135" s="89" t="str">
        <f t="shared" si="0"/>
        <v>76 (2017 m. gruodis)</v>
      </c>
      <c r="M135" s="89" t="s">
        <v>1079</v>
      </c>
      <c r="N135" s="89" t="s">
        <v>1080</v>
      </c>
      <c r="O135" s="89" t="s">
        <v>1081</v>
      </c>
      <c r="P135" s="89" t="s">
        <v>1082</v>
      </c>
      <c r="Q135" s="89" t="s">
        <v>1083</v>
      </c>
      <c r="R135" s="100">
        <v>1</v>
      </c>
      <c r="S135" s="100">
        <v>0</v>
      </c>
      <c r="T135" s="253"/>
      <c r="U135" s="245"/>
      <c r="V135" s="248"/>
      <c r="W135" s="110"/>
      <c r="X135" s="98"/>
      <c r="Y135" s="98"/>
      <c r="Z135" s="98"/>
      <c r="AA135" s="256"/>
      <c r="AB135" s="110"/>
      <c r="AC135" s="242"/>
    </row>
    <row r="136" spans="1:29" ht="116.25" customHeight="1" x14ac:dyDescent="0.25">
      <c r="A136" s="236"/>
      <c r="B136" s="323"/>
      <c r="C136" s="330"/>
      <c r="D136" s="330"/>
      <c r="E136" s="254"/>
      <c r="F136" s="254"/>
      <c r="G136" s="89" t="s">
        <v>1084</v>
      </c>
      <c r="H136" s="89" t="s">
        <v>288</v>
      </c>
      <c r="I136" s="89" t="s">
        <v>1085</v>
      </c>
      <c r="J136" s="89" t="s">
        <v>1100</v>
      </c>
      <c r="K136" s="89" t="str">
        <f t="shared" si="0"/>
        <v>61 (2016 m. sausis)</v>
      </c>
      <c r="L136" s="89" t="str">
        <f t="shared" si="0"/>
        <v>51 (2017 m. gruodis)</v>
      </c>
      <c r="M136" s="89" t="s">
        <v>1089</v>
      </c>
      <c r="N136" s="89" t="s">
        <v>1090</v>
      </c>
      <c r="O136" s="89" t="s">
        <v>1091</v>
      </c>
      <c r="P136" s="89" t="s">
        <v>1092</v>
      </c>
      <c r="Q136" s="89" t="s">
        <v>1093</v>
      </c>
      <c r="R136" s="100">
        <v>1</v>
      </c>
      <c r="S136" s="100">
        <v>0</v>
      </c>
      <c r="T136" s="254"/>
      <c r="U136" s="246"/>
      <c r="V136" s="249"/>
      <c r="W136" s="115"/>
      <c r="X136" s="113"/>
      <c r="Y136" s="113"/>
      <c r="Z136" s="113"/>
      <c r="AA136" s="257"/>
      <c r="AB136" s="115"/>
      <c r="AC136" s="137"/>
    </row>
    <row r="137" spans="1:29" ht="63" customHeight="1" x14ac:dyDescent="0.25">
      <c r="A137" s="236"/>
      <c r="B137" s="323"/>
      <c r="C137" s="322" t="s">
        <v>615</v>
      </c>
      <c r="D137" s="322" t="s">
        <v>1101</v>
      </c>
      <c r="E137" s="252" t="s">
        <v>1102</v>
      </c>
      <c r="F137" s="252" t="s">
        <v>1103</v>
      </c>
      <c r="G137" s="89" t="s">
        <v>1104</v>
      </c>
      <c r="H137" s="89" t="s">
        <v>1105</v>
      </c>
      <c r="I137" s="94" t="s">
        <v>1106</v>
      </c>
      <c r="J137" s="89" t="s">
        <v>1107</v>
      </c>
      <c r="K137" s="89" t="s">
        <v>1108</v>
      </c>
      <c r="L137" s="89" t="s">
        <v>1109</v>
      </c>
      <c r="M137" s="89" t="s">
        <v>1110</v>
      </c>
      <c r="N137" s="99" t="s">
        <v>1111</v>
      </c>
      <c r="O137" s="99" t="s">
        <v>1112</v>
      </c>
      <c r="P137" s="99" t="s">
        <v>1113</v>
      </c>
      <c r="Q137" s="99" t="s">
        <v>1114</v>
      </c>
      <c r="R137" s="100">
        <v>1</v>
      </c>
      <c r="S137" s="100">
        <v>0</v>
      </c>
      <c r="T137" s="252" t="s">
        <v>35</v>
      </c>
      <c r="U137" s="244">
        <v>173612</v>
      </c>
      <c r="V137" s="247">
        <f>3531+2690</f>
        <v>6221</v>
      </c>
      <c r="W137" s="119">
        <v>3531</v>
      </c>
      <c r="X137" s="109">
        <v>1788.91</v>
      </c>
      <c r="Y137" s="109"/>
      <c r="Z137" s="109">
        <f>X137+Y137</f>
        <v>1788.91</v>
      </c>
      <c r="AA137" s="255">
        <f>Z137/W137</f>
        <v>0.506629849900878</v>
      </c>
      <c r="AB137" s="110">
        <v>1</v>
      </c>
      <c r="AC137" s="241" t="s">
        <v>1115</v>
      </c>
    </row>
    <row r="138" spans="1:29" ht="44.25" customHeight="1" x14ac:dyDescent="0.25">
      <c r="A138" s="236"/>
      <c r="B138" s="323"/>
      <c r="C138" s="323"/>
      <c r="D138" s="323"/>
      <c r="E138" s="253"/>
      <c r="F138" s="253"/>
      <c r="G138" s="89" t="s">
        <v>1116</v>
      </c>
      <c r="H138" s="89" t="s">
        <v>288</v>
      </c>
      <c r="I138" s="94" t="s">
        <v>1117</v>
      </c>
      <c r="J138" s="89" t="s">
        <v>525</v>
      </c>
      <c r="K138" s="89" t="s">
        <v>1118</v>
      </c>
      <c r="L138" s="89" t="s">
        <v>492</v>
      </c>
      <c r="M138" s="89" t="s">
        <v>1119</v>
      </c>
      <c r="N138" s="99" t="s">
        <v>1120</v>
      </c>
      <c r="O138" s="99" t="s">
        <v>1121</v>
      </c>
      <c r="P138" s="99" t="s">
        <v>1122</v>
      </c>
      <c r="Q138" s="99" t="s">
        <v>1123</v>
      </c>
      <c r="R138" s="100">
        <v>0</v>
      </c>
      <c r="S138" s="100">
        <v>0</v>
      </c>
      <c r="T138" s="253"/>
      <c r="U138" s="245"/>
      <c r="V138" s="248"/>
      <c r="W138" s="110"/>
      <c r="X138" s="110"/>
      <c r="Y138" s="110"/>
      <c r="Z138" s="114"/>
      <c r="AA138" s="256"/>
      <c r="AB138" s="110"/>
      <c r="AC138" s="242"/>
    </row>
    <row r="139" spans="1:29" ht="55.5" customHeight="1" x14ac:dyDescent="0.25">
      <c r="A139" s="236"/>
      <c r="B139" s="323"/>
      <c r="C139" s="323"/>
      <c r="D139" s="323"/>
      <c r="E139" s="253"/>
      <c r="F139" s="253"/>
      <c r="G139" s="89" t="s">
        <v>1124</v>
      </c>
      <c r="H139" s="89" t="s">
        <v>288</v>
      </c>
      <c r="I139" s="94" t="s">
        <v>1125</v>
      </c>
      <c r="J139" s="89" t="s">
        <v>1126</v>
      </c>
      <c r="K139" s="89" t="s">
        <v>1127</v>
      </c>
      <c r="L139" s="89" t="s">
        <v>1128</v>
      </c>
      <c r="M139" s="89" t="s">
        <v>1129</v>
      </c>
      <c r="N139" s="99" t="s">
        <v>1130</v>
      </c>
      <c r="O139" s="205" t="s">
        <v>1131</v>
      </c>
      <c r="P139" s="205" t="s">
        <v>1132</v>
      </c>
      <c r="Q139" s="205" t="s">
        <v>1133</v>
      </c>
      <c r="R139" s="100" t="s">
        <v>135</v>
      </c>
      <c r="S139" s="100" t="s">
        <v>1134</v>
      </c>
      <c r="T139" s="253"/>
      <c r="U139" s="245"/>
      <c r="V139" s="248"/>
      <c r="W139" s="110"/>
      <c r="X139" s="98"/>
      <c r="Y139" s="98"/>
      <c r="Z139" s="98"/>
      <c r="AA139" s="256"/>
      <c r="AB139" s="110"/>
      <c r="AC139" s="242"/>
    </row>
    <row r="140" spans="1:29" ht="46.5" customHeight="1" x14ac:dyDescent="0.25">
      <c r="A140" s="236"/>
      <c r="B140" s="323"/>
      <c r="C140" s="330"/>
      <c r="D140" s="330"/>
      <c r="E140" s="254"/>
      <c r="F140" s="254"/>
      <c r="G140" s="89" t="s">
        <v>1135</v>
      </c>
      <c r="H140" s="89" t="s">
        <v>288</v>
      </c>
      <c r="I140" s="94" t="s">
        <v>1136</v>
      </c>
      <c r="J140" s="89" t="s">
        <v>1137</v>
      </c>
      <c r="K140" s="89" t="s">
        <v>1138</v>
      </c>
      <c r="L140" s="89" t="s">
        <v>1139</v>
      </c>
      <c r="M140" s="89" t="s">
        <v>1140</v>
      </c>
      <c r="N140" s="99" t="s">
        <v>1141</v>
      </c>
      <c r="O140" s="99" t="s">
        <v>1142</v>
      </c>
      <c r="P140" s="99" t="s">
        <v>1143</v>
      </c>
      <c r="Q140" s="99" t="s">
        <v>1144</v>
      </c>
      <c r="R140" s="100">
        <v>1</v>
      </c>
      <c r="S140" s="100">
        <v>1</v>
      </c>
      <c r="T140" s="254"/>
      <c r="U140" s="246"/>
      <c r="V140" s="249"/>
      <c r="W140" s="115"/>
      <c r="X140" s="113"/>
      <c r="Y140" s="113"/>
      <c r="Z140" s="113"/>
      <c r="AA140" s="257"/>
      <c r="AB140" s="115"/>
      <c r="AC140" s="243"/>
    </row>
    <row r="141" spans="1:29" ht="53.25" customHeight="1" x14ac:dyDescent="0.25">
      <c r="A141" s="236"/>
      <c r="B141" s="323"/>
      <c r="C141" s="322" t="s">
        <v>496</v>
      </c>
      <c r="D141" s="322" t="s">
        <v>1145</v>
      </c>
      <c r="E141" s="252" t="s">
        <v>1146</v>
      </c>
      <c r="F141" s="252" t="s">
        <v>1147</v>
      </c>
      <c r="G141" s="89" t="s">
        <v>1148</v>
      </c>
      <c r="H141" s="89" t="s">
        <v>572</v>
      </c>
      <c r="I141" s="89" t="s">
        <v>1149</v>
      </c>
      <c r="J141" s="89" t="s">
        <v>1150</v>
      </c>
      <c r="K141" s="89" t="str">
        <f>K137</f>
        <v>32 (2016 m. gruodis)</v>
      </c>
      <c r="L141" s="89" t="str">
        <f>L137</f>
        <v>34 (2017 m. spalis)</v>
      </c>
      <c r="M141" s="89" t="str">
        <f>M137</f>
        <v>33 (2018 m. lapkritis)</v>
      </c>
      <c r="N141" s="99" t="s">
        <v>1111</v>
      </c>
      <c r="O141" s="99" t="s">
        <v>1112</v>
      </c>
      <c r="P141" s="99" t="s">
        <v>1113</v>
      </c>
      <c r="Q141" s="99" t="s">
        <v>1114</v>
      </c>
      <c r="R141" s="100">
        <v>1</v>
      </c>
      <c r="S141" s="100">
        <v>0</v>
      </c>
      <c r="T141" s="252" t="s">
        <v>35</v>
      </c>
      <c r="U141" s="244">
        <v>114660</v>
      </c>
      <c r="V141" s="247">
        <f>8336+8337</f>
        <v>16673</v>
      </c>
      <c r="W141" s="156">
        <v>8336</v>
      </c>
      <c r="X141" s="109">
        <v>7385.11</v>
      </c>
      <c r="Y141" s="141"/>
      <c r="Z141" s="98">
        <f>X141+Y141</f>
        <v>7385.11</v>
      </c>
      <c r="AA141" s="255">
        <f>X141/W141</f>
        <v>0.88592970249520153</v>
      </c>
      <c r="AB141" s="110">
        <v>1</v>
      </c>
      <c r="AC141" s="241" t="s">
        <v>663</v>
      </c>
    </row>
    <row r="142" spans="1:29" ht="38.25" customHeight="1" x14ac:dyDescent="0.25">
      <c r="A142" s="236"/>
      <c r="B142" s="323"/>
      <c r="C142" s="323"/>
      <c r="D142" s="323"/>
      <c r="E142" s="253"/>
      <c r="F142" s="253"/>
      <c r="G142" s="89" t="s">
        <v>1151</v>
      </c>
      <c r="H142" s="89" t="s">
        <v>38</v>
      </c>
      <c r="I142" s="89" t="s">
        <v>1136</v>
      </c>
      <c r="J142" s="89" t="s">
        <v>1137</v>
      </c>
      <c r="K142" s="89" t="str">
        <f>K140</f>
        <v>17 (2016 m. gruodis)</v>
      </c>
      <c r="L142" s="89" t="str">
        <f>L140</f>
        <v>20 (2017 m. lapkritis)</v>
      </c>
      <c r="M142" s="89" t="str">
        <f>M140</f>
        <v>19 (2018 m. lapkritis)</v>
      </c>
      <c r="N142" s="99" t="s">
        <v>1141</v>
      </c>
      <c r="O142" s="99" t="s">
        <v>1142</v>
      </c>
      <c r="P142" s="99" t="s">
        <v>1143</v>
      </c>
      <c r="Q142" s="99" t="s">
        <v>1144</v>
      </c>
      <c r="R142" s="100">
        <v>1</v>
      </c>
      <c r="S142" s="100">
        <v>1</v>
      </c>
      <c r="T142" s="253"/>
      <c r="U142" s="245"/>
      <c r="V142" s="248"/>
      <c r="W142" s="110"/>
      <c r="X142" s="98"/>
      <c r="Y142" s="98"/>
      <c r="Z142" s="98"/>
      <c r="AA142" s="256"/>
      <c r="AB142" s="110"/>
      <c r="AC142" s="242"/>
    </row>
    <row r="143" spans="1:29" ht="54.75" customHeight="1" x14ac:dyDescent="0.25">
      <c r="A143" s="236"/>
      <c r="B143" s="323"/>
      <c r="C143" s="330"/>
      <c r="D143" s="330"/>
      <c r="E143" s="254"/>
      <c r="F143" s="254"/>
      <c r="G143" s="89" t="s">
        <v>1152</v>
      </c>
      <c r="H143" s="89" t="s">
        <v>38</v>
      </c>
      <c r="I143" s="89" t="s">
        <v>1117</v>
      </c>
      <c r="J143" s="89" t="s">
        <v>525</v>
      </c>
      <c r="K143" s="89" t="s">
        <v>1118</v>
      </c>
      <c r="L143" s="89" t="s">
        <v>492</v>
      </c>
      <c r="M143" s="89" t="str">
        <f>M138</f>
        <v>52 (2018 m. lapritis)</v>
      </c>
      <c r="N143" s="99" t="s">
        <v>1120</v>
      </c>
      <c r="O143" s="99" t="s">
        <v>1121</v>
      </c>
      <c r="P143" s="99" t="s">
        <v>1122</v>
      </c>
      <c r="Q143" s="99" t="s">
        <v>1123</v>
      </c>
      <c r="R143" s="100">
        <v>0</v>
      </c>
      <c r="S143" s="100">
        <v>0</v>
      </c>
      <c r="T143" s="254"/>
      <c r="U143" s="246"/>
      <c r="V143" s="249"/>
      <c r="W143" s="115"/>
      <c r="X143" s="113"/>
      <c r="Y143" s="113"/>
      <c r="Z143" s="113"/>
      <c r="AA143" s="257"/>
      <c r="AB143" s="115"/>
      <c r="AC143" s="243"/>
    </row>
    <row r="144" spans="1:29" ht="97.5" customHeight="1" x14ac:dyDescent="0.25">
      <c r="A144" s="236"/>
      <c r="B144" s="322" t="s">
        <v>1153</v>
      </c>
      <c r="C144" s="322" t="s">
        <v>1154</v>
      </c>
      <c r="D144" s="322" t="s">
        <v>1155</v>
      </c>
      <c r="E144" s="252" t="s">
        <v>1156</v>
      </c>
      <c r="F144" s="252" t="s">
        <v>1157</v>
      </c>
      <c r="G144" s="89" t="s">
        <v>1158</v>
      </c>
      <c r="H144" s="89" t="s">
        <v>288</v>
      </c>
      <c r="I144" s="89" t="s">
        <v>1159</v>
      </c>
      <c r="J144" s="89" t="s">
        <v>713</v>
      </c>
      <c r="K144" s="89" t="s">
        <v>195</v>
      </c>
      <c r="L144" s="89" t="s">
        <v>195</v>
      </c>
      <c r="M144" s="89" t="s">
        <v>195</v>
      </c>
      <c r="N144" s="89" t="s">
        <v>1160</v>
      </c>
      <c r="O144" s="89" t="s">
        <v>1161</v>
      </c>
      <c r="P144" s="89" t="str">
        <f>O144</f>
        <v>EM planuoja matuoti 2023 m.</v>
      </c>
      <c r="Q144" s="89" t="s">
        <v>1162</v>
      </c>
      <c r="R144" s="100" t="s">
        <v>135</v>
      </c>
      <c r="S144" s="100" t="s">
        <v>303</v>
      </c>
      <c r="T144" s="252" t="s">
        <v>1163</v>
      </c>
      <c r="U144" s="244">
        <v>412588</v>
      </c>
      <c r="V144" s="247">
        <f>24442+19400</f>
        <v>43842</v>
      </c>
      <c r="W144" s="109">
        <v>25000</v>
      </c>
      <c r="X144" s="109">
        <v>0</v>
      </c>
      <c r="Y144" s="109"/>
      <c r="Z144" s="109">
        <f>X144+Y144</f>
        <v>0</v>
      </c>
      <c r="AA144" s="255">
        <f>X144/W144</f>
        <v>0</v>
      </c>
      <c r="AB144" s="109">
        <v>0</v>
      </c>
      <c r="AC144" s="285" t="s">
        <v>1164</v>
      </c>
    </row>
    <row r="145" spans="1:29" ht="89.25" customHeight="1" x14ac:dyDescent="0.25">
      <c r="A145" s="236"/>
      <c r="B145" s="323"/>
      <c r="C145" s="323"/>
      <c r="D145" s="323"/>
      <c r="E145" s="253"/>
      <c r="F145" s="253"/>
      <c r="G145" s="89" t="s">
        <v>1165</v>
      </c>
      <c r="H145" s="89" t="s">
        <v>1166</v>
      </c>
      <c r="I145" s="89" t="s">
        <v>1167</v>
      </c>
      <c r="J145" s="89" t="s">
        <v>1168</v>
      </c>
      <c r="K145" s="89" t="s">
        <v>1169</v>
      </c>
      <c r="L145" s="89" t="s">
        <v>1170</v>
      </c>
      <c r="M145" s="89" t="str">
        <f>M149</f>
        <v>34 (2018 m. lapkritis)</v>
      </c>
      <c r="N145" s="89" t="s">
        <v>1171</v>
      </c>
      <c r="O145" s="89" t="s">
        <v>1172</v>
      </c>
      <c r="P145" s="89" t="s">
        <v>1173</v>
      </c>
      <c r="Q145" s="89" t="s">
        <v>1174</v>
      </c>
      <c r="R145" s="100">
        <v>1</v>
      </c>
      <c r="S145" s="100">
        <v>1</v>
      </c>
      <c r="T145" s="253"/>
      <c r="U145" s="245"/>
      <c r="V145" s="248"/>
      <c r="W145" s="110"/>
      <c r="X145" s="98"/>
      <c r="Y145" s="98"/>
      <c r="Z145" s="98"/>
      <c r="AA145" s="256"/>
      <c r="AB145" s="110"/>
      <c r="AC145" s="286"/>
    </row>
    <row r="146" spans="1:29" ht="47.25" customHeight="1" x14ac:dyDescent="0.25">
      <c r="A146" s="236"/>
      <c r="B146" s="323"/>
      <c r="C146" s="323"/>
      <c r="D146" s="323"/>
      <c r="E146" s="253"/>
      <c r="F146" s="253"/>
      <c r="G146" s="89" t="s">
        <v>1175</v>
      </c>
      <c r="H146" s="89" t="s">
        <v>38</v>
      </c>
      <c r="I146" s="89" t="s">
        <v>1176</v>
      </c>
      <c r="J146" s="89" t="s">
        <v>1177</v>
      </c>
      <c r="K146" s="89" t="s">
        <v>1108</v>
      </c>
      <c r="L146" s="89" t="s">
        <v>1178</v>
      </c>
      <c r="M146" s="89" t="s">
        <v>1110</v>
      </c>
      <c r="N146" s="89" t="s">
        <v>1179</v>
      </c>
      <c r="O146" s="89" t="s">
        <v>1180</v>
      </c>
      <c r="P146" s="89" t="s">
        <v>1132</v>
      </c>
      <c r="Q146" s="89" t="s">
        <v>1132</v>
      </c>
      <c r="R146" s="100" t="s">
        <v>135</v>
      </c>
      <c r="S146" s="100" t="s">
        <v>1134</v>
      </c>
      <c r="T146" s="253"/>
      <c r="U146" s="245"/>
      <c r="V146" s="248"/>
      <c r="W146" s="110"/>
      <c r="X146" s="98"/>
      <c r="Y146" s="98"/>
      <c r="Z146" s="98"/>
      <c r="AA146" s="256"/>
      <c r="AB146" s="110"/>
      <c r="AC146" s="286"/>
    </row>
    <row r="147" spans="1:29" ht="65.25" customHeight="1" x14ac:dyDescent="0.25">
      <c r="A147" s="236"/>
      <c r="B147" s="323"/>
      <c r="C147" s="323"/>
      <c r="D147" s="323"/>
      <c r="E147" s="253"/>
      <c r="F147" s="253"/>
      <c r="G147" s="89" t="s">
        <v>1181</v>
      </c>
      <c r="H147" s="89" t="s">
        <v>288</v>
      </c>
      <c r="I147" s="89" t="s">
        <v>1117</v>
      </c>
      <c r="J147" s="89" t="s">
        <v>525</v>
      </c>
      <c r="K147" s="89" t="s">
        <v>1182</v>
      </c>
      <c r="L147" s="89" t="s">
        <v>195</v>
      </c>
      <c r="M147" s="89" t="s">
        <v>195</v>
      </c>
      <c r="N147" s="89" t="s">
        <v>1160</v>
      </c>
      <c r="O147" s="89" t="s">
        <v>1161</v>
      </c>
      <c r="P147" s="89" t="str">
        <f>O147</f>
        <v>EM planuoja matuoti 2023 m.</v>
      </c>
      <c r="Q147" s="89" t="s">
        <v>1162</v>
      </c>
      <c r="R147" s="100" t="s">
        <v>135</v>
      </c>
      <c r="S147" s="100" t="s">
        <v>303</v>
      </c>
      <c r="T147" s="253"/>
      <c r="U147" s="245"/>
      <c r="V147" s="248"/>
      <c r="W147" s="110"/>
      <c r="X147" s="98"/>
      <c r="Y147" s="98"/>
      <c r="Z147" s="98"/>
      <c r="AA147" s="256"/>
      <c r="AB147" s="110"/>
      <c r="AC147" s="286"/>
    </row>
    <row r="148" spans="1:29" ht="78.75" customHeight="1" x14ac:dyDescent="0.25">
      <c r="A148" s="236"/>
      <c r="B148" s="323"/>
      <c r="C148" s="330"/>
      <c r="D148" s="330"/>
      <c r="E148" s="254"/>
      <c r="F148" s="254"/>
      <c r="G148" s="89" t="s">
        <v>1183</v>
      </c>
      <c r="H148" s="89" t="s">
        <v>288</v>
      </c>
      <c r="I148" s="89" t="s">
        <v>1184</v>
      </c>
      <c r="J148" s="89" t="s">
        <v>1185</v>
      </c>
      <c r="K148" s="89" t="s">
        <v>1186</v>
      </c>
      <c r="L148" s="89" t="s">
        <v>195</v>
      </c>
      <c r="M148" s="89" t="s">
        <v>195</v>
      </c>
      <c r="N148" s="89" t="s">
        <v>1160</v>
      </c>
      <c r="O148" s="89" t="s">
        <v>1161</v>
      </c>
      <c r="P148" s="89" t="str">
        <f>O148</f>
        <v>EM planuoja matuoti 2023 m.</v>
      </c>
      <c r="Q148" s="89" t="s">
        <v>1162</v>
      </c>
      <c r="R148" s="100" t="s">
        <v>135</v>
      </c>
      <c r="S148" s="100" t="s">
        <v>303</v>
      </c>
      <c r="T148" s="254"/>
      <c r="U148" s="246"/>
      <c r="V148" s="249"/>
      <c r="W148" s="115"/>
      <c r="X148" s="113"/>
      <c r="Y148" s="113"/>
      <c r="Z148" s="113"/>
      <c r="AA148" s="257"/>
      <c r="AB148" s="115"/>
      <c r="AC148" s="287"/>
    </row>
    <row r="149" spans="1:29" ht="66" customHeight="1" x14ac:dyDescent="0.25">
      <c r="A149" s="237"/>
      <c r="B149" s="330"/>
      <c r="C149" s="79" t="s">
        <v>496</v>
      </c>
      <c r="D149" s="54" t="s">
        <v>1187</v>
      </c>
      <c r="E149" s="89" t="s">
        <v>1188</v>
      </c>
      <c r="F149" s="89" t="s">
        <v>1189</v>
      </c>
      <c r="G149" s="89" t="s">
        <v>1190</v>
      </c>
      <c r="H149" s="89" t="s">
        <v>288</v>
      </c>
      <c r="I149" s="89" t="s">
        <v>1191</v>
      </c>
      <c r="J149" s="89" t="s">
        <v>1150</v>
      </c>
      <c r="K149" s="89" t="s">
        <v>1169</v>
      </c>
      <c r="L149" s="89" t="s">
        <v>1170</v>
      </c>
      <c r="M149" s="89" t="s">
        <v>1192</v>
      </c>
      <c r="N149" s="89" t="s">
        <v>1171</v>
      </c>
      <c r="O149" s="89" t="s">
        <v>1172</v>
      </c>
      <c r="P149" s="89" t="s">
        <v>1173</v>
      </c>
      <c r="Q149" s="89" t="s">
        <v>1174</v>
      </c>
      <c r="R149" s="100">
        <v>1</v>
      </c>
      <c r="S149" s="100">
        <v>1</v>
      </c>
      <c r="T149" s="89" t="s">
        <v>35</v>
      </c>
      <c r="U149" s="94">
        <v>101270</v>
      </c>
      <c r="V149" s="135">
        <f>13392+5891</f>
        <v>19283</v>
      </c>
      <c r="W149" s="152">
        <v>13392</v>
      </c>
      <c r="X149" s="155">
        <v>12698.22</v>
      </c>
      <c r="Y149" s="153"/>
      <c r="Z149" s="154">
        <f>X149+Y149</f>
        <v>12698.22</v>
      </c>
      <c r="AA149" s="147">
        <f>X149/W149</f>
        <v>0.94819444444444445</v>
      </c>
      <c r="AB149" s="155">
        <v>1</v>
      </c>
      <c r="AC149" s="206" t="s">
        <v>663</v>
      </c>
    </row>
    <row r="150" spans="1:29" s="29" customFormat="1" ht="160.5" customHeight="1" x14ac:dyDescent="0.25">
      <c r="A150" s="235" t="s">
        <v>1193</v>
      </c>
      <c r="B150" s="322" t="s">
        <v>1194</v>
      </c>
      <c r="C150" s="338" t="s">
        <v>993</v>
      </c>
      <c r="D150" s="338" t="s">
        <v>1195</v>
      </c>
      <c r="E150" s="252" t="s">
        <v>1196</v>
      </c>
      <c r="F150" s="339" t="s">
        <v>1197</v>
      </c>
      <c r="G150" s="89" t="s">
        <v>1198</v>
      </c>
      <c r="H150" s="89" t="s">
        <v>38</v>
      </c>
      <c r="I150" s="89" t="s">
        <v>1199</v>
      </c>
      <c r="J150" s="89" t="s">
        <v>1200</v>
      </c>
      <c r="K150" s="100"/>
      <c r="L150" s="100"/>
      <c r="M150" s="89"/>
      <c r="N150" s="37"/>
      <c r="O150" s="37">
        <v>66</v>
      </c>
      <c r="P150" s="37" t="s">
        <v>1201</v>
      </c>
      <c r="Q150" s="37" t="s">
        <v>1199</v>
      </c>
      <c r="R150" s="100" t="s">
        <v>1202</v>
      </c>
      <c r="S150" s="207">
        <v>0</v>
      </c>
      <c r="T150" s="342" t="s">
        <v>1203</v>
      </c>
      <c r="U150" s="301">
        <v>100000</v>
      </c>
      <c r="V150" s="304">
        <f>57000+42274</f>
        <v>99274</v>
      </c>
      <c r="W150" s="109">
        <v>57274</v>
      </c>
      <c r="X150" s="109">
        <v>8712</v>
      </c>
      <c r="Y150" s="109"/>
      <c r="Z150" s="109"/>
      <c r="AA150" s="280">
        <f>X150/W150</f>
        <v>0.15211090547194189</v>
      </c>
      <c r="AB150" s="283">
        <v>0</v>
      </c>
      <c r="AC150" s="285" t="s">
        <v>1204</v>
      </c>
    </row>
    <row r="151" spans="1:29" s="29" customFormat="1" ht="53.25" customHeight="1" x14ac:dyDescent="0.25">
      <c r="A151" s="236"/>
      <c r="B151" s="323"/>
      <c r="C151" s="338"/>
      <c r="D151" s="338"/>
      <c r="E151" s="253"/>
      <c r="F151" s="339"/>
      <c r="G151" s="89" t="s">
        <v>1205</v>
      </c>
      <c r="H151" s="89" t="s">
        <v>38</v>
      </c>
      <c r="I151" s="89" t="s">
        <v>1206</v>
      </c>
      <c r="J151" s="89" t="s">
        <v>1207</v>
      </c>
      <c r="K151" s="89"/>
      <c r="L151" s="89"/>
      <c r="M151" s="100"/>
      <c r="N151" s="100"/>
      <c r="O151" s="89">
        <v>60</v>
      </c>
      <c r="P151" s="37" t="s">
        <v>1201</v>
      </c>
      <c r="Q151" s="37" t="s">
        <v>1206</v>
      </c>
      <c r="R151" s="100" t="s">
        <v>1202</v>
      </c>
      <c r="S151" s="208">
        <v>1</v>
      </c>
      <c r="T151" s="343"/>
      <c r="U151" s="302"/>
      <c r="V151" s="250"/>
      <c r="W151" s="262"/>
      <c r="X151" s="262"/>
      <c r="Y151" s="110"/>
      <c r="Z151" s="98"/>
      <c r="AA151" s="282"/>
      <c r="AB151" s="284"/>
      <c r="AC151" s="286"/>
    </row>
    <row r="152" spans="1:29" s="28" customFormat="1" ht="50.25" customHeight="1" thickBot="1" x14ac:dyDescent="0.3">
      <c r="A152" s="236"/>
      <c r="B152" s="323"/>
      <c r="C152" s="338"/>
      <c r="D152" s="338"/>
      <c r="E152" s="254"/>
      <c r="F152" s="339"/>
      <c r="G152" s="89" t="s">
        <v>1208</v>
      </c>
      <c r="H152" s="89" t="s">
        <v>172</v>
      </c>
      <c r="I152" s="89" t="s">
        <v>1209</v>
      </c>
      <c r="J152" s="89" t="s">
        <v>1210</v>
      </c>
      <c r="K152" s="89"/>
      <c r="L152" s="89"/>
      <c r="M152" s="89"/>
      <c r="N152" s="89"/>
      <c r="O152" s="89" t="s">
        <v>1211</v>
      </c>
      <c r="P152" s="37" t="s">
        <v>1212</v>
      </c>
      <c r="Q152" s="37" t="s">
        <v>1213</v>
      </c>
      <c r="R152" s="100" t="s">
        <v>1214</v>
      </c>
      <c r="S152" s="100" t="s">
        <v>1214</v>
      </c>
      <c r="T152" s="339"/>
      <c r="U152" s="303"/>
      <c r="V152" s="251"/>
      <c r="W152" s="263"/>
      <c r="X152" s="263"/>
      <c r="Y152" s="115"/>
      <c r="Z152" s="113"/>
      <c r="AA152" s="282"/>
      <c r="AB152" s="284"/>
      <c r="AC152" s="286"/>
    </row>
    <row r="153" spans="1:29" s="28" customFormat="1" ht="50.25" customHeight="1" x14ac:dyDescent="0.25">
      <c r="A153" s="236"/>
      <c r="B153" s="323"/>
      <c r="C153" s="335" t="s">
        <v>993</v>
      </c>
      <c r="D153" s="335" t="s">
        <v>1215</v>
      </c>
      <c r="E153" s="252" t="s">
        <v>1216</v>
      </c>
      <c r="F153" s="252" t="s">
        <v>1217</v>
      </c>
      <c r="G153" s="89" t="s">
        <v>1218</v>
      </c>
      <c r="H153" s="89" t="s">
        <v>38</v>
      </c>
      <c r="I153" s="89" t="s">
        <v>1219</v>
      </c>
      <c r="J153" s="89" t="s">
        <v>1048</v>
      </c>
      <c r="K153" s="89"/>
      <c r="L153" s="89"/>
      <c r="M153" s="89"/>
      <c r="N153" s="89"/>
      <c r="O153" s="89"/>
      <c r="P153" s="37"/>
      <c r="Q153" s="37" t="s">
        <v>1220</v>
      </c>
      <c r="R153" s="100">
        <v>1</v>
      </c>
      <c r="S153" s="100">
        <v>1</v>
      </c>
      <c r="T153" s="252" t="s">
        <v>35</v>
      </c>
      <c r="U153" s="209">
        <v>130000</v>
      </c>
      <c r="V153" s="210">
        <v>130000</v>
      </c>
      <c r="W153" s="269">
        <v>10000</v>
      </c>
      <c r="X153" s="269">
        <v>8750</v>
      </c>
      <c r="Y153" s="115"/>
      <c r="Z153" s="113"/>
      <c r="AA153" s="288">
        <f>X153/W153</f>
        <v>0.875</v>
      </c>
      <c r="AB153" s="290">
        <v>1</v>
      </c>
      <c r="AC153" s="290" t="s">
        <v>1221</v>
      </c>
    </row>
    <row r="154" spans="1:29" s="28" customFormat="1" ht="50.25" customHeight="1" x14ac:dyDescent="0.25">
      <c r="A154" s="236"/>
      <c r="B154" s="323"/>
      <c r="C154" s="336"/>
      <c r="D154" s="336"/>
      <c r="E154" s="253"/>
      <c r="F154" s="253"/>
      <c r="G154" s="89" t="s">
        <v>1222</v>
      </c>
      <c r="H154" s="89" t="s">
        <v>38</v>
      </c>
      <c r="I154" s="89" t="s">
        <v>1223</v>
      </c>
      <c r="J154" s="89" t="s">
        <v>1224</v>
      </c>
      <c r="K154" s="89"/>
      <c r="L154" s="89"/>
      <c r="M154" s="89"/>
      <c r="N154" s="89"/>
      <c r="O154" s="89"/>
      <c r="P154" s="37"/>
      <c r="Q154" s="37" t="s">
        <v>1225</v>
      </c>
      <c r="R154" s="100" t="s">
        <v>1202</v>
      </c>
      <c r="S154" s="100" t="s">
        <v>303</v>
      </c>
      <c r="T154" s="253"/>
      <c r="U154" s="211"/>
      <c r="V154" s="212"/>
      <c r="W154" s="262"/>
      <c r="X154" s="262"/>
      <c r="Y154" s="115"/>
      <c r="Z154" s="113"/>
      <c r="AA154" s="282"/>
      <c r="AB154" s="286"/>
      <c r="AC154" s="286"/>
    </row>
    <row r="155" spans="1:29" s="28" customFormat="1" ht="50.25" customHeight="1" thickBot="1" x14ac:dyDescent="0.3">
      <c r="A155" s="237"/>
      <c r="B155" s="330"/>
      <c r="C155" s="337"/>
      <c r="D155" s="337"/>
      <c r="E155" s="254"/>
      <c r="F155" s="254"/>
      <c r="G155" s="89" t="s">
        <v>1226</v>
      </c>
      <c r="H155" s="89" t="s">
        <v>38</v>
      </c>
      <c r="I155" s="89" t="s">
        <v>1227</v>
      </c>
      <c r="J155" s="89" t="s">
        <v>179</v>
      </c>
      <c r="K155" s="89"/>
      <c r="L155" s="89"/>
      <c r="M155" s="89"/>
      <c r="N155" s="89"/>
      <c r="O155" s="89"/>
      <c r="P155" s="37"/>
      <c r="Q155" s="37" t="s">
        <v>1228</v>
      </c>
      <c r="R155" s="100" t="s">
        <v>1202</v>
      </c>
      <c r="S155" s="100" t="s">
        <v>303</v>
      </c>
      <c r="T155" s="254"/>
      <c r="U155" s="211"/>
      <c r="V155" s="212"/>
      <c r="W155" s="263"/>
      <c r="X155" s="263"/>
      <c r="Y155" s="115"/>
      <c r="Z155" s="113"/>
      <c r="AA155" s="289"/>
      <c r="AB155" s="291"/>
      <c r="AC155" s="291"/>
    </row>
    <row r="156" spans="1:29" s="28" customFormat="1" ht="249" customHeight="1" x14ac:dyDescent="0.25">
      <c r="A156" s="55" t="s">
        <v>1229</v>
      </c>
      <c r="B156" s="56" t="s">
        <v>1230</v>
      </c>
      <c r="C156" s="56" t="s">
        <v>993</v>
      </c>
      <c r="D156" s="56" t="s">
        <v>1231</v>
      </c>
      <c r="E156" s="187" t="s">
        <v>1232</v>
      </c>
      <c r="F156" s="187" t="s">
        <v>30</v>
      </c>
      <c r="G156" s="89" t="s">
        <v>1233</v>
      </c>
      <c r="H156" s="89" t="s">
        <v>38</v>
      </c>
      <c r="I156" s="89" t="s">
        <v>1234</v>
      </c>
      <c r="J156" s="89" t="s">
        <v>867</v>
      </c>
      <c r="K156" s="89">
        <v>42</v>
      </c>
      <c r="L156" s="89">
        <v>46</v>
      </c>
      <c r="M156" s="89">
        <v>46</v>
      </c>
      <c r="N156" s="99">
        <v>47</v>
      </c>
      <c r="O156" s="99" t="s">
        <v>1235</v>
      </c>
      <c r="P156" s="99" t="s">
        <v>509</v>
      </c>
      <c r="Q156" s="99" t="s">
        <v>1236</v>
      </c>
      <c r="R156" s="100">
        <v>0</v>
      </c>
      <c r="S156" s="100">
        <v>0</v>
      </c>
      <c r="T156" s="89" t="s">
        <v>1237</v>
      </c>
      <c r="U156" s="143">
        <v>120000</v>
      </c>
      <c r="V156" s="144">
        <f>103000+14000</f>
        <v>117000</v>
      </c>
      <c r="W156" s="110">
        <v>103000</v>
      </c>
      <c r="X156" s="98">
        <v>0</v>
      </c>
      <c r="Y156" s="155"/>
      <c r="Z156" s="155">
        <f>X156+Y156</f>
        <v>0</v>
      </c>
      <c r="AA156" s="213">
        <f>X156/W156</f>
        <v>0</v>
      </c>
      <c r="AB156" s="115">
        <v>0</v>
      </c>
      <c r="AC156" s="214" t="s">
        <v>1238</v>
      </c>
    </row>
    <row r="157" spans="1:29" s="28" customFormat="1" ht="66" customHeight="1" x14ac:dyDescent="0.25">
      <c r="A157" s="236"/>
      <c r="B157" s="323"/>
      <c r="C157" s="322" t="s">
        <v>406</v>
      </c>
      <c r="D157" s="322" t="s">
        <v>1239</v>
      </c>
      <c r="E157" s="252" t="s">
        <v>1240</v>
      </c>
      <c r="F157" s="252" t="s">
        <v>30</v>
      </c>
      <c r="G157" s="187" t="s">
        <v>1241</v>
      </c>
      <c r="H157" s="187" t="s">
        <v>38</v>
      </c>
      <c r="I157" s="187" t="s">
        <v>1242</v>
      </c>
      <c r="J157" s="187" t="s">
        <v>892</v>
      </c>
      <c r="K157" s="89"/>
      <c r="L157" s="89"/>
      <c r="M157" s="89"/>
      <c r="N157" s="99"/>
      <c r="O157" s="99" t="s">
        <v>1235</v>
      </c>
      <c r="P157" s="99" t="s">
        <v>509</v>
      </c>
      <c r="Q157" s="99" t="s">
        <v>1236</v>
      </c>
      <c r="R157" s="100">
        <v>0</v>
      </c>
      <c r="S157" s="100">
        <v>0</v>
      </c>
      <c r="T157" s="252" t="s">
        <v>1237</v>
      </c>
      <c r="U157" s="258">
        <v>248415</v>
      </c>
      <c r="V157" s="247">
        <f>W157+80000</f>
        <v>222412.55</v>
      </c>
      <c r="W157" s="294">
        <v>142412.54999999999</v>
      </c>
      <c r="X157" s="269">
        <v>91453.49</v>
      </c>
      <c r="Y157" s="114"/>
      <c r="Z157" s="134"/>
      <c r="AA157" s="280">
        <f>X157/W157</f>
        <v>0.64217296860424178</v>
      </c>
      <c r="AB157" s="269">
        <v>1</v>
      </c>
      <c r="AC157" s="241" t="s">
        <v>1243</v>
      </c>
    </row>
    <row r="158" spans="1:29" s="28" customFormat="1" ht="66" customHeight="1" x14ac:dyDescent="0.25">
      <c r="A158" s="237"/>
      <c r="B158" s="330"/>
      <c r="C158" s="330"/>
      <c r="D158" s="330"/>
      <c r="E158" s="254"/>
      <c r="F158" s="254"/>
      <c r="G158" s="187" t="s">
        <v>1244</v>
      </c>
      <c r="H158" s="187" t="s">
        <v>38</v>
      </c>
      <c r="I158" s="187" t="s">
        <v>1245</v>
      </c>
      <c r="J158" s="187" t="s">
        <v>1246</v>
      </c>
      <c r="K158" s="89"/>
      <c r="L158" s="89"/>
      <c r="M158" s="89"/>
      <c r="N158" s="99"/>
      <c r="O158" s="99" t="s">
        <v>1247</v>
      </c>
      <c r="P158" s="99" t="s">
        <v>1248</v>
      </c>
      <c r="Q158" s="99" t="s">
        <v>1249</v>
      </c>
      <c r="R158" s="100">
        <v>1</v>
      </c>
      <c r="S158" s="100">
        <v>0</v>
      </c>
      <c r="T158" s="254"/>
      <c r="U158" s="260"/>
      <c r="V158" s="249"/>
      <c r="W158" s="263"/>
      <c r="X158" s="263"/>
      <c r="Y158" s="114"/>
      <c r="Z158" s="134"/>
      <c r="AA158" s="281"/>
      <c r="AB158" s="263"/>
      <c r="AC158" s="243"/>
    </row>
    <row r="159" spans="1:29" ht="60" customHeight="1" x14ac:dyDescent="0.25">
      <c r="A159" s="55" t="s">
        <v>1250</v>
      </c>
      <c r="B159" s="322" t="s">
        <v>1251</v>
      </c>
      <c r="C159" s="56" t="s">
        <v>463</v>
      </c>
      <c r="D159" s="322" t="s">
        <v>1252</v>
      </c>
      <c r="E159" s="252" t="s">
        <v>1253</v>
      </c>
      <c r="F159" s="340" t="s">
        <v>1254</v>
      </c>
      <c r="G159" s="187" t="s">
        <v>1255</v>
      </c>
      <c r="H159" s="187" t="s">
        <v>38</v>
      </c>
      <c r="I159" s="187" t="s">
        <v>1256</v>
      </c>
      <c r="J159" s="187" t="s">
        <v>1257</v>
      </c>
      <c r="K159" s="89" t="s">
        <v>1258</v>
      </c>
      <c r="L159" s="89" t="s">
        <v>1258</v>
      </c>
      <c r="M159" s="89" t="s">
        <v>1259</v>
      </c>
      <c r="N159" s="89" t="s">
        <v>1260</v>
      </c>
      <c r="O159" s="89">
        <v>22</v>
      </c>
      <c r="P159" s="89" t="s">
        <v>1261</v>
      </c>
      <c r="Q159" s="89">
        <v>43</v>
      </c>
      <c r="R159" s="100">
        <v>1</v>
      </c>
      <c r="S159" s="100">
        <v>0</v>
      </c>
      <c r="T159" s="187" t="s">
        <v>1262</v>
      </c>
      <c r="U159" s="215">
        <v>353010</v>
      </c>
      <c r="V159" s="144">
        <v>170240</v>
      </c>
      <c r="W159" s="109">
        <v>170240</v>
      </c>
      <c r="X159" s="109">
        <v>89059.29</v>
      </c>
      <c r="Y159" s="98"/>
      <c r="Z159" s="109">
        <f>X159+Y159</f>
        <v>89059.29</v>
      </c>
      <c r="AA159" s="280">
        <f>X159/W159</f>
        <v>0.52313962640977441</v>
      </c>
      <c r="AB159" s="109">
        <v>1</v>
      </c>
      <c r="AC159" s="241" t="s">
        <v>1263</v>
      </c>
    </row>
    <row r="160" spans="1:29" ht="54.75" customHeight="1" x14ac:dyDescent="0.25">
      <c r="A160" s="334"/>
      <c r="B160" s="323"/>
      <c r="C160" s="58"/>
      <c r="D160" s="323"/>
      <c r="E160" s="253"/>
      <c r="F160" s="341"/>
      <c r="G160" s="187" t="s">
        <v>1264</v>
      </c>
      <c r="H160" s="187" t="s">
        <v>38</v>
      </c>
      <c r="I160" s="187" t="s">
        <v>1265</v>
      </c>
      <c r="J160" s="187" t="s">
        <v>253</v>
      </c>
      <c r="K160" s="89" t="s">
        <v>1258</v>
      </c>
      <c r="L160" s="89" t="s">
        <v>1258</v>
      </c>
      <c r="M160" s="89" t="s">
        <v>1266</v>
      </c>
      <c r="N160" s="89" t="s">
        <v>1260</v>
      </c>
      <c r="O160" s="89">
        <v>67</v>
      </c>
      <c r="P160" s="89" t="s">
        <v>1261</v>
      </c>
      <c r="Q160" s="89">
        <v>75.2</v>
      </c>
      <c r="R160" s="100">
        <v>1</v>
      </c>
      <c r="S160" s="100">
        <v>0</v>
      </c>
      <c r="T160" s="344"/>
      <c r="U160" s="293"/>
      <c r="V160" s="292"/>
      <c r="W160" s="262"/>
      <c r="X160" s="98"/>
      <c r="Y160" s="98"/>
      <c r="Z160" s="110"/>
      <c r="AA160" s="282"/>
      <c r="AB160" s="110"/>
      <c r="AC160" s="242"/>
    </row>
    <row r="161" spans="1:29" ht="54.75" customHeight="1" x14ac:dyDescent="0.25">
      <c r="A161" s="334"/>
      <c r="B161" s="323"/>
      <c r="C161" s="58"/>
      <c r="D161" s="323"/>
      <c r="E161" s="253"/>
      <c r="F161" s="341"/>
      <c r="G161" s="187" t="s">
        <v>1267</v>
      </c>
      <c r="H161" s="187" t="s">
        <v>38</v>
      </c>
      <c r="I161" s="187" t="s">
        <v>1268</v>
      </c>
      <c r="J161" s="187" t="s">
        <v>1269</v>
      </c>
      <c r="K161" s="89" t="s">
        <v>1258</v>
      </c>
      <c r="L161" s="89" t="s">
        <v>1258</v>
      </c>
      <c r="M161" s="89" t="s">
        <v>1270</v>
      </c>
      <c r="N161" s="89" t="s">
        <v>1260</v>
      </c>
      <c r="O161" s="89">
        <v>67</v>
      </c>
      <c r="P161" s="89">
        <v>56</v>
      </c>
      <c r="Q161" s="89">
        <v>59</v>
      </c>
      <c r="R161" s="100">
        <v>1</v>
      </c>
      <c r="S161" s="100" t="s">
        <v>1271</v>
      </c>
      <c r="T161" s="344"/>
      <c r="U161" s="293"/>
      <c r="V161" s="292"/>
      <c r="W161" s="262"/>
      <c r="X161" s="98"/>
      <c r="Y161" s="98"/>
      <c r="Z161" s="98"/>
      <c r="AA161" s="171"/>
      <c r="AB161" s="110"/>
      <c r="AC161" s="242"/>
    </row>
    <row r="162" spans="1:29" ht="54.75" customHeight="1" thickBot="1" x14ac:dyDescent="0.3">
      <c r="A162" s="334"/>
      <c r="B162" s="323"/>
      <c r="C162" s="58"/>
      <c r="D162" s="323"/>
      <c r="E162" s="253"/>
      <c r="F162" s="341"/>
      <c r="G162" s="187" t="s">
        <v>1272</v>
      </c>
      <c r="H162" s="187" t="s">
        <v>1273</v>
      </c>
      <c r="I162" s="187" t="s">
        <v>1274</v>
      </c>
      <c r="J162" s="187" t="s">
        <v>1275</v>
      </c>
      <c r="K162" s="187" t="s">
        <v>1258</v>
      </c>
      <c r="L162" s="187" t="s">
        <v>1258</v>
      </c>
      <c r="M162" s="187" t="s">
        <v>1258</v>
      </c>
      <c r="N162" s="187">
        <v>24</v>
      </c>
      <c r="O162" s="187" t="s">
        <v>1276</v>
      </c>
      <c r="P162" s="187">
        <v>0.82</v>
      </c>
      <c r="Q162" s="89">
        <v>0.83</v>
      </c>
      <c r="R162" s="216">
        <v>1</v>
      </c>
      <c r="S162" s="100">
        <v>0</v>
      </c>
      <c r="T162" s="344"/>
      <c r="U162" s="293"/>
      <c r="V162" s="292"/>
      <c r="W162" s="262"/>
      <c r="X162" s="98"/>
      <c r="Y162" s="98"/>
      <c r="Z162" s="98"/>
      <c r="AA162" s="171"/>
      <c r="AB162" s="110"/>
      <c r="AC162" s="242"/>
    </row>
    <row r="163" spans="1:29" ht="35.25" customHeight="1" thickBot="1" x14ac:dyDescent="0.3">
      <c r="A163" s="80"/>
      <c r="B163" s="81"/>
      <c r="C163" s="81"/>
      <c r="D163" s="81"/>
      <c r="E163" s="81"/>
      <c r="F163" s="82"/>
      <c r="G163" s="83"/>
      <c r="H163" s="83"/>
      <c r="I163" s="84"/>
      <c r="J163" s="84"/>
      <c r="K163" s="85"/>
      <c r="L163" s="85"/>
      <c r="M163" s="85"/>
      <c r="N163" s="85"/>
      <c r="O163" s="85"/>
      <c r="P163" s="85"/>
      <c r="Q163" s="85"/>
      <c r="R163" s="85"/>
      <c r="S163" s="85"/>
      <c r="T163" s="85"/>
      <c r="U163" s="42">
        <f t="shared" ref="U163:Z163" si="1">SUM(U5:U162)</f>
        <v>20803679.759999998</v>
      </c>
      <c r="V163" s="43">
        <f t="shared" si="1"/>
        <v>9896365.5500000007</v>
      </c>
      <c r="W163" s="43">
        <f>SUM(W5:W162)</f>
        <v>5977725.5499999998</v>
      </c>
      <c r="X163" s="43">
        <f t="shared" si="1"/>
        <v>3546581.2099999995</v>
      </c>
      <c r="Y163" s="43">
        <f t="shared" si="1"/>
        <v>0</v>
      </c>
      <c r="Z163" s="43">
        <f t="shared" si="1"/>
        <v>1953655.2800000003</v>
      </c>
      <c r="AA163" s="44">
        <f>X163/W163</f>
        <v>0.59329943811154051</v>
      </c>
      <c r="AB163" s="45">
        <f>SUM(AB5:AB162)</f>
        <v>35.24772475973959</v>
      </c>
      <c r="AC163" s="45"/>
    </row>
    <row r="164" spans="1:29" x14ac:dyDescent="0.25">
      <c r="A164" s="4"/>
      <c r="B164" s="4"/>
      <c r="C164" s="4"/>
      <c r="D164" s="4"/>
      <c r="E164" s="4"/>
      <c r="F164" s="4"/>
      <c r="G164" s="4"/>
      <c r="R164" s="86"/>
    </row>
    <row r="165" spans="1:29" x14ac:dyDescent="0.25">
      <c r="A165" s="4"/>
      <c r="B165" s="4"/>
      <c r="C165" s="4"/>
      <c r="D165" s="4"/>
      <c r="E165" s="4"/>
      <c r="F165" s="4"/>
      <c r="G165" s="4"/>
    </row>
    <row r="166" spans="1:29" x14ac:dyDescent="0.25">
      <c r="A166" s="4"/>
      <c r="B166" s="4"/>
      <c r="C166" s="4"/>
      <c r="D166" s="4"/>
      <c r="E166" s="4"/>
      <c r="F166" s="4"/>
      <c r="G166" s="4"/>
    </row>
    <row r="167" spans="1:29" x14ac:dyDescent="0.25">
      <c r="A167" s="4"/>
      <c r="B167" s="4"/>
      <c r="C167" s="4"/>
      <c r="D167" s="4"/>
      <c r="E167" s="4"/>
      <c r="F167" s="4"/>
      <c r="G167" s="4"/>
    </row>
    <row r="168" spans="1:29" x14ac:dyDescent="0.25">
      <c r="A168" s="4"/>
      <c r="B168" s="4"/>
      <c r="C168" s="4"/>
      <c r="D168" s="4"/>
      <c r="E168" s="4"/>
      <c r="F168" s="4"/>
      <c r="G168" s="4"/>
      <c r="H168" s="4"/>
      <c r="I168" s="4"/>
      <c r="J168" s="4"/>
    </row>
    <row r="169" spans="1:29" x14ac:dyDescent="0.25">
      <c r="A169" s="4"/>
      <c r="B169" s="4"/>
      <c r="C169" s="4"/>
      <c r="D169" s="4"/>
      <c r="E169" s="4"/>
      <c r="F169" s="4"/>
      <c r="G169" s="4"/>
      <c r="H169" s="4"/>
      <c r="I169" s="4"/>
      <c r="J169" s="4"/>
    </row>
    <row r="170" spans="1:29" x14ac:dyDescent="0.25">
      <c r="A170" s="4"/>
      <c r="B170" s="4"/>
      <c r="C170" s="4"/>
      <c r="D170" s="4"/>
      <c r="E170" s="4"/>
      <c r="F170" s="4"/>
      <c r="G170" s="4"/>
      <c r="H170" s="4"/>
      <c r="I170" s="4"/>
      <c r="J170" s="4"/>
    </row>
    <row r="171" spans="1:29" x14ac:dyDescent="0.25">
      <c r="A171" s="4"/>
      <c r="B171" s="4"/>
      <c r="C171" s="4"/>
      <c r="D171" s="4"/>
      <c r="E171" s="4"/>
      <c r="F171" s="4"/>
      <c r="G171" s="4"/>
      <c r="H171" s="4"/>
      <c r="I171" s="4"/>
      <c r="J171" s="4"/>
      <c r="K171" s="4"/>
      <c r="L171" s="4"/>
      <c r="M171" s="4"/>
      <c r="N171" s="4"/>
      <c r="O171" s="4"/>
      <c r="P171" s="4"/>
      <c r="Q171" s="4"/>
      <c r="R171" s="4"/>
      <c r="S171" s="4"/>
      <c r="T171" s="4"/>
      <c r="U171" s="4"/>
    </row>
    <row r="172" spans="1:29" x14ac:dyDescent="0.25">
      <c r="A172" s="4"/>
      <c r="B172" s="4"/>
      <c r="C172" s="4"/>
      <c r="D172" s="4"/>
      <c r="E172" s="4"/>
      <c r="F172" s="4"/>
      <c r="G172" s="4"/>
      <c r="H172" s="4"/>
      <c r="I172" s="4"/>
      <c r="J172" s="4"/>
      <c r="K172" s="4"/>
      <c r="L172" s="4"/>
      <c r="M172" s="4"/>
      <c r="N172" s="4"/>
      <c r="O172" s="4"/>
      <c r="P172" s="4"/>
      <c r="Q172" s="4"/>
      <c r="R172" s="4"/>
      <c r="S172" s="4"/>
      <c r="T172" s="4"/>
      <c r="U172" s="4"/>
    </row>
    <row r="173" spans="1:29" x14ac:dyDescent="0.25">
      <c r="A173" s="4"/>
      <c r="B173" s="4"/>
      <c r="C173" s="4"/>
      <c r="D173" s="4"/>
      <c r="E173" s="4"/>
      <c r="F173" s="4"/>
      <c r="G173" s="4"/>
      <c r="H173" s="4"/>
      <c r="I173" s="4"/>
      <c r="J173" s="4"/>
      <c r="K173" s="4"/>
      <c r="L173" s="4"/>
      <c r="M173" s="4"/>
      <c r="N173" s="4"/>
      <c r="O173" s="4"/>
      <c r="P173" s="4"/>
      <c r="Q173" s="4"/>
      <c r="R173" s="4"/>
      <c r="S173" s="4"/>
      <c r="T173" s="4"/>
      <c r="U173" s="4"/>
    </row>
    <row r="174" spans="1:29" x14ac:dyDescent="0.25">
      <c r="A174" s="4"/>
      <c r="B174" s="4"/>
      <c r="C174" s="4"/>
      <c r="D174" s="4"/>
      <c r="E174" s="4"/>
      <c r="F174" s="4"/>
      <c r="G174" s="4"/>
      <c r="H174" s="4"/>
      <c r="I174" s="4"/>
      <c r="J174" s="4"/>
      <c r="K174" s="4"/>
      <c r="L174" s="4"/>
      <c r="M174" s="4"/>
      <c r="N174" s="4"/>
      <c r="O174" s="4"/>
      <c r="P174" s="4"/>
      <c r="Q174" s="4"/>
      <c r="R174" s="4"/>
      <c r="S174" s="4"/>
      <c r="T174" s="4"/>
      <c r="U174" s="4"/>
    </row>
    <row r="175" spans="1:29" x14ac:dyDescent="0.25">
      <c r="A175" s="4"/>
      <c r="B175" s="4"/>
      <c r="C175" s="4"/>
      <c r="D175" s="4"/>
      <c r="E175" s="4"/>
      <c r="F175" s="4"/>
      <c r="G175" s="4"/>
      <c r="H175" s="4"/>
      <c r="I175" s="4"/>
      <c r="J175" s="4"/>
      <c r="K175" s="4"/>
      <c r="L175" s="4"/>
      <c r="M175" s="4"/>
      <c r="N175" s="4"/>
      <c r="O175" s="4"/>
      <c r="P175" s="4"/>
      <c r="Q175" s="4"/>
      <c r="R175" s="4"/>
      <c r="S175" s="4"/>
      <c r="T175" s="4"/>
      <c r="U175" s="4"/>
    </row>
    <row r="176" spans="1:29"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ht="15.75" customHeight="1" x14ac:dyDescent="0.25">
      <c r="A192" s="4"/>
      <c r="B192" s="4"/>
      <c r="C192" s="4"/>
      <c r="D192" s="4"/>
      <c r="E192" s="4"/>
      <c r="F192" s="4"/>
      <c r="G192" s="4"/>
      <c r="H192" s="4"/>
      <c r="I192" s="4"/>
      <c r="J192" s="4"/>
      <c r="K192" s="4"/>
      <c r="L192" s="4"/>
      <c r="M192" s="4"/>
      <c r="N192" s="4"/>
      <c r="O192" s="4"/>
      <c r="P192" s="4"/>
      <c r="Q192" s="4"/>
      <c r="R192" s="4"/>
      <c r="S192" s="4"/>
      <c r="T192" s="4"/>
      <c r="U192" s="4"/>
    </row>
    <row r="193" spans="1:21" ht="15.75" customHeight="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row r="419" spans="1:21" x14ac:dyDescent="0.25">
      <c r="A419" s="4"/>
      <c r="B419" s="4"/>
      <c r="C419" s="4"/>
      <c r="D419" s="4"/>
      <c r="E419" s="4"/>
      <c r="F419" s="4"/>
      <c r="G419" s="4"/>
      <c r="H419" s="4"/>
      <c r="I419" s="4"/>
      <c r="J419" s="4"/>
      <c r="K419" s="4"/>
      <c r="L419" s="4"/>
      <c r="M419" s="4"/>
      <c r="N419" s="4"/>
      <c r="O419" s="4"/>
      <c r="P419" s="4"/>
      <c r="Q419" s="4"/>
      <c r="R419" s="4"/>
      <c r="S419" s="4"/>
      <c r="T419" s="4"/>
      <c r="U419" s="4"/>
    </row>
    <row r="420" spans="1:21" x14ac:dyDescent="0.25">
      <c r="A420" s="4"/>
      <c r="B420" s="4"/>
      <c r="C420" s="4"/>
      <c r="D420" s="4"/>
      <c r="E420" s="4"/>
      <c r="F420" s="4"/>
      <c r="G420" s="4"/>
      <c r="H420" s="4"/>
      <c r="I420" s="4"/>
      <c r="J420" s="4"/>
      <c r="K420" s="4"/>
      <c r="L420" s="4"/>
      <c r="M420" s="4"/>
      <c r="N420" s="4"/>
      <c r="O420" s="4"/>
      <c r="P420" s="4"/>
      <c r="Q420" s="4"/>
      <c r="R420" s="4"/>
      <c r="S420" s="4"/>
      <c r="T420" s="4"/>
      <c r="U420" s="4"/>
    </row>
    <row r="421" spans="1:21" x14ac:dyDescent="0.25">
      <c r="A421" s="4"/>
      <c r="B421" s="4"/>
      <c r="C421" s="4"/>
      <c r="D421" s="4"/>
      <c r="E421" s="4"/>
      <c r="F421" s="4"/>
      <c r="G421" s="4"/>
      <c r="H421" s="4"/>
      <c r="I421" s="4"/>
      <c r="J421" s="4"/>
      <c r="K421" s="4"/>
      <c r="L421" s="4"/>
      <c r="M421" s="4"/>
      <c r="N421" s="4"/>
      <c r="O421" s="4"/>
      <c r="P421" s="4"/>
      <c r="Q421" s="4"/>
      <c r="R421" s="4"/>
      <c r="S421" s="4"/>
      <c r="T421" s="4"/>
      <c r="U421" s="4"/>
    </row>
    <row r="422" spans="1:21" x14ac:dyDescent="0.25">
      <c r="A422" s="4"/>
      <c r="B422" s="4"/>
      <c r="C422" s="4"/>
      <c r="D422" s="4"/>
      <c r="E422" s="4"/>
      <c r="F422" s="4"/>
      <c r="G422" s="4"/>
      <c r="H422" s="4"/>
      <c r="I422" s="4"/>
      <c r="J422" s="4"/>
      <c r="K422" s="4"/>
      <c r="L422" s="4"/>
      <c r="M422" s="4"/>
      <c r="N422" s="4"/>
      <c r="O422" s="4"/>
      <c r="P422" s="4"/>
      <c r="Q422" s="4"/>
      <c r="R422" s="4"/>
      <c r="S422" s="4"/>
      <c r="T422" s="4"/>
      <c r="U422" s="4"/>
    </row>
    <row r="423" spans="1:21" x14ac:dyDescent="0.25">
      <c r="A423" s="4"/>
      <c r="B423" s="4"/>
      <c r="C423" s="4"/>
      <c r="D423" s="4"/>
      <c r="E423" s="4"/>
      <c r="F423" s="4"/>
      <c r="G423" s="4"/>
      <c r="H423" s="4"/>
      <c r="I423" s="4"/>
      <c r="J423" s="4"/>
      <c r="K423" s="4"/>
      <c r="L423" s="4"/>
      <c r="M423" s="4"/>
      <c r="N423" s="4"/>
      <c r="O423" s="4"/>
      <c r="P423" s="4"/>
      <c r="Q423" s="4"/>
      <c r="R423" s="4"/>
      <c r="S423" s="4"/>
      <c r="T423" s="4"/>
      <c r="U423" s="4"/>
    </row>
    <row r="424" spans="1:21" x14ac:dyDescent="0.25">
      <c r="A424" s="4"/>
      <c r="B424" s="4"/>
      <c r="C424" s="4"/>
      <c r="D424" s="4"/>
      <c r="E424" s="4"/>
      <c r="F424" s="4"/>
      <c r="G424" s="4"/>
      <c r="H424" s="4"/>
      <c r="I424" s="4"/>
      <c r="J424" s="4"/>
      <c r="K424" s="4"/>
      <c r="L424" s="4"/>
      <c r="M424" s="4"/>
      <c r="N424" s="4"/>
      <c r="O424" s="4"/>
      <c r="P424" s="4"/>
      <c r="Q424" s="4"/>
      <c r="R424" s="4"/>
      <c r="S424" s="4"/>
      <c r="T424" s="4"/>
      <c r="U424" s="4"/>
    </row>
    <row r="425" spans="1:21" x14ac:dyDescent="0.25">
      <c r="A425" s="4"/>
      <c r="B425" s="4"/>
      <c r="C425" s="4"/>
      <c r="D425" s="4"/>
      <c r="E425" s="4"/>
      <c r="F425" s="4"/>
      <c r="G425" s="4"/>
      <c r="H425" s="4"/>
      <c r="I425" s="4"/>
      <c r="J425" s="4"/>
      <c r="K425" s="4"/>
      <c r="L425" s="4"/>
      <c r="M425" s="4"/>
      <c r="N425" s="4"/>
      <c r="O425" s="4"/>
      <c r="P425" s="4"/>
      <c r="Q425" s="4"/>
      <c r="R425" s="4"/>
      <c r="S425" s="4"/>
      <c r="T425" s="4"/>
      <c r="U425" s="4"/>
    </row>
    <row r="426" spans="1:21" x14ac:dyDescent="0.25">
      <c r="A426" s="4"/>
      <c r="B426" s="4"/>
      <c r="C426" s="4"/>
      <c r="D426" s="4"/>
      <c r="E426" s="4"/>
      <c r="F426" s="4"/>
      <c r="G426" s="4"/>
      <c r="H426" s="4"/>
      <c r="I426" s="4"/>
      <c r="J426" s="4"/>
      <c r="K426" s="4"/>
      <c r="L426" s="4"/>
      <c r="M426" s="4"/>
      <c r="N426" s="4"/>
      <c r="O426" s="4"/>
      <c r="P426" s="4"/>
      <c r="Q426" s="4"/>
      <c r="R426" s="4"/>
      <c r="S426" s="4"/>
      <c r="T426" s="4"/>
      <c r="U426" s="4"/>
    </row>
    <row r="427" spans="1:21" x14ac:dyDescent="0.25">
      <c r="A427" s="4"/>
      <c r="B427" s="4"/>
      <c r="C427" s="4"/>
      <c r="D427" s="4"/>
      <c r="E427" s="4"/>
      <c r="F427" s="4"/>
      <c r="G427" s="4"/>
      <c r="H427" s="4"/>
      <c r="I427" s="4"/>
      <c r="J427" s="4"/>
      <c r="K427" s="4"/>
      <c r="L427" s="4"/>
      <c r="M427" s="4"/>
      <c r="N427" s="4"/>
      <c r="O427" s="4"/>
      <c r="P427" s="4"/>
      <c r="Q427" s="4"/>
      <c r="R427" s="4"/>
      <c r="S427" s="4"/>
      <c r="T427" s="4"/>
      <c r="U427" s="4"/>
    </row>
    <row r="428" spans="1:21" x14ac:dyDescent="0.25">
      <c r="A428" s="4"/>
      <c r="B428" s="4"/>
      <c r="C428" s="4"/>
      <c r="D428" s="4"/>
      <c r="E428" s="4"/>
      <c r="F428" s="4"/>
      <c r="G428" s="4"/>
      <c r="H428" s="4"/>
      <c r="I428" s="4"/>
      <c r="J428" s="4"/>
      <c r="K428" s="4"/>
      <c r="L428" s="4"/>
      <c r="M428" s="4"/>
      <c r="N428" s="4"/>
      <c r="O428" s="4"/>
      <c r="P428" s="4"/>
      <c r="Q428" s="4"/>
      <c r="R428" s="4"/>
      <c r="S428" s="4"/>
      <c r="T428" s="4"/>
      <c r="U428" s="4"/>
    </row>
    <row r="429" spans="1:21" x14ac:dyDescent="0.25">
      <c r="A429" s="4"/>
      <c r="B429" s="4"/>
      <c r="C429" s="4"/>
      <c r="D429" s="4"/>
      <c r="E429" s="4"/>
      <c r="F429" s="4"/>
      <c r="G429" s="4"/>
      <c r="H429" s="4"/>
      <c r="I429" s="4"/>
      <c r="J429" s="4"/>
      <c r="K429" s="4"/>
      <c r="L429" s="4"/>
      <c r="M429" s="4"/>
      <c r="N429" s="4"/>
      <c r="O429" s="4"/>
      <c r="P429" s="4"/>
      <c r="Q429" s="4"/>
      <c r="R429" s="4"/>
      <c r="S429" s="4"/>
      <c r="T429" s="4"/>
      <c r="U429" s="4"/>
    </row>
    <row r="430" spans="1:21" x14ac:dyDescent="0.25">
      <c r="A430" s="4"/>
      <c r="B430" s="4"/>
      <c r="C430" s="4"/>
      <c r="D430" s="4"/>
      <c r="E430" s="4"/>
      <c r="F430" s="4"/>
      <c r="G430" s="4"/>
      <c r="H430" s="4"/>
      <c r="I430" s="4"/>
      <c r="J430" s="4"/>
      <c r="K430" s="4"/>
      <c r="L430" s="4"/>
      <c r="M430" s="4"/>
      <c r="N430" s="4"/>
      <c r="O430" s="4"/>
      <c r="P430" s="4"/>
      <c r="Q430" s="4"/>
      <c r="R430" s="4"/>
      <c r="S430" s="4"/>
      <c r="T430" s="4"/>
      <c r="U430" s="4"/>
    </row>
    <row r="431" spans="1:21" x14ac:dyDescent="0.25">
      <c r="A431" s="4"/>
      <c r="B431" s="4"/>
      <c r="C431" s="4"/>
      <c r="D431" s="4"/>
      <c r="E431" s="4"/>
      <c r="F431" s="4"/>
      <c r="G431" s="4"/>
      <c r="H431" s="4"/>
      <c r="I431" s="4"/>
      <c r="J431" s="4"/>
      <c r="K431" s="4"/>
      <c r="L431" s="4"/>
      <c r="M431" s="4"/>
      <c r="N431" s="4"/>
      <c r="O431" s="4"/>
      <c r="P431" s="4"/>
      <c r="Q431" s="4"/>
      <c r="R431" s="4"/>
      <c r="S431" s="4"/>
      <c r="T431" s="4"/>
      <c r="U431" s="4"/>
    </row>
    <row r="432" spans="1:21" x14ac:dyDescent="0.25">
      <c r="A432" s="4"/>
      <c r="B432" s="4"/>
      <c r="C432" s="4"/>
      <c r="D432" s="4"/>
      <c r="E432" s="4"/>
      <c r="F432" s="4"/>
      <c r="G432" s="4"/>
      <c r="H432" s="4"/>
      <c r="I432" s="4"/>
      <c r="J432" s="4"/>
      <c r="K432" s="4"/>
      <c r="L432" s="4"/>
      <c r="M432" s="4"/>
      <c r="N432" s="4"/>
      <c r="O432" s="4"/>
      <c r="P432" s="4"/>
      <c r="Q432" s="4"/>
      <c r="R432" s="4"/>
      <c r="S432" s="4"/>
      <c r="T432" s="4"/>
      <c r="U432" s="4"/>
    </row>
    <row r="433" spans="1:21" x14ac:dyDescent="0.25">
      <c r="A433" s="4"/>
      <c r="B433" s="4"/>
      <c r="C433" s="4"/>
      <c r="D433" s="4"/>
      <c r="E433" s="4"/>
      <c r="F433" s="4"/>
      <c r="G433" s="4"/>
      <c r="H433" s="4"/>
      <c r="I433" s="4"/>
      <c r="J433" s="4"/>
      <c r="K433" s="4"/>
      <c r="L433" s="4"/>
      <c r="M433" s="4"/>
      <c r="N433" s="4"/>
      <c r="O433" s="4"/>
      <c r="P433" s="4"/>
      <c r="Q433" s="4"/>
      <c r="R433" s="4"/>
      <c r="S433" s="4"/>
      <c r="T433" s="4"/>
      <c r="U433" s="4"/>
    </row>
    <row r="434" spans="1:21" x14ac:dyDescent="0.25">
      <c r="A434" s="4"/>
      <c r="B434" s="4"/>
      <c r="C434" s="4"/>
      <c r="D434" s="4"/>
      <c r="E434" s="4"/>
      <c r="F434" s="4"/>
      <c r="G434" s="4"/>
      <c r="H434" s="4"/>
      <c r="I434" s="4"/>
      <c r="J434" s="4"/>
      <c r="K434" s="4"/>
      <c r="L434" s="4"/>
      <c r="M434" s="4"/>
      <c r="N434" s="4"/>
      <c r="O434" s="4"/>
      <c r="P434" s="4"/>
      <c r="Q434" s="4"/>
      <c r="R434" s="4"/>
      <c r="S434" s="4"/>
      <c r="T434" s="4"/>
      <c r="U434" s="4"/>
    </row>
    <row r="435" spans="1:21" x14ac:dyDescent="0.25">
      <c r="A435" s="4"/>
      <c r="B435" s="4"/>
      <c r="C435" s="4"/>
      <c r="D435" s="4"/>
      <c r="E435" s="4"/>
      <c r="F435" s="4"/>
      <c r="G435" s="4"/>
      <c r="H435" s="4"/>
      <c r="I435" s="4"/>
      <c r="J435" s="4"/>
      <c r="K435" s="4"/>
      <c r="L435" s="4"/>
      <c r="M435" s="4"/>
      <c r="N435" s="4"/>
      <c r="O435" s="4"/>
      <c r="P435" s="4"/>
      <c r="Q435" s="4"/>
      <c r="R435" s="4"/>
      <c r="S435" s="4"/>
      <c r="T435" s="4"/>
      <c r="U435" s="4"/>
    </row>
    <row r="436" spans="1:21" x14ac:dyDescent="0.25">
      <c r="A436" s="4"/>
      <c r="B436" s="4"/>
      <c r="C436" s="4"/>
      <c r="D436" s="4"/>
      <c r="E436" s="4"/>
      <c r="F436" s="4"/>
      <c r="G436" s="4"/>
      <c r="H436" s="4"/>
      <c r="I436" s="4"/>
      <c r="J436" s="4"/>
      <c r="K436" s="4"/>
      <c r="L436" s="4"/>
      <c r="M436" s="4"/>
      <c r="N436" s="4"/>
      <c r="O436" s="4"/>
      <c r="P436" s="4"/>
      <c r="Q436" s="4"/>
      <c r="R436" s="4"/>
      <c r="S436" s="4"/>
      <c r="T436" s="4"/>
      <c r="U436" s="4"/>
    </row>
    <row r="437" spans="1:21" x14ac:dyDescent="0.25">
      <c r="A437" s="4"/>
      <c r="B437" s="4"/>
      <c r="C437" s="4"/>
      <c r="D437" s="4"/>
      <c r="E437" s="4"/>
      <c r="F437" s="4"/>
      <c r="G437" s="4"/>
      <c r="H437" s="4"/>
      <c r="I437" s="4"/>
      <c r="J437" s="4"/>
      <c r="K437" s="4"/>
      <c r="L437" s="4"/>
      <c r="M437" s="4"/>
      <c r="N437" s="4"/>
      <c r="O437" s="4"/>
      <c r="P437" s="4"/>
      <c r="Q437" s="4"/>
      <c r="R437" s="4"/>
      <c r="S437" s="4"/>
      <c r="T437" s="4"/>
      <c r="U437" s="4"/>
    </row>
    <row r="438" spans="1:21" x14ac:dyDescent="0.25">
      <c r="A438" s="4"/>
      <c r="B438" s="4"/>
      <c r="C438" s="4"/>
      <c r="D438" s="4"/>
      <c r="E438" s="4"/>
      <c r="F438" s="4"/>
      <c r="G438" s="4"/>
      <c r="H438" s="4"/>
      <c r="I438" s="4"/>
      <c r="J438" s="4"/>
      <c r="K438" s="4"/>
      <c r="L438" s="4"/>
      <c r="M438" s="4"/>
      <c r="N438" s="4"/>
      <c r="O438" s="4"/>
      <c r="P438" s="4"/>
      <c r="Q438" s="4"/>
      <c r="R438" s="4"/>
      <c r="S438" s="4"/>
      <c r="T438" s="4"/>
      <c r="U438" s="4"/>
    </row>
    <row r="439" spans="1:21" x14ac:dyDescent="0.25">
      <c r="A439" s="4"/>
      <c r="B439" s="4"/>
      <c r="C439" s="4"/>
      <c r="D439" s="4"/>
      <c r="E439" s="4"/>
      <c r="F439" s="4"/>
      <c r="G439" s="4"/>
      <c r="H439" s="4"/>
      <c r="I439" s="4"/>
      <c r="J439" s="4"/>
      <c r="K439" s="4"/>
      <c r="L439" s="4"/>
      <c r="M439" s="4"/>
      <c r="N439" s="4"/>
      <c r="O439" s="4"/>
      <c r="P439" s="4"/>
      <c r="Q439" s="4"/>
      <c r="R439" s="4"/>
      <c r="S439" s="4"/>
      <c r="T439" s="4"/>
      <c r="U439" s="4"/>
    </row>
    <row r="440" spans="1:21" x14ac:dyDescent="0.25">
      <c r="A440" s="4"/>
      <c r="B440" s="4"/>
      <c r="C440" s="4"/>
      <c r="D440" s="4"/>
      <c r="E440" s="4"/>
      <c r="F440" s="4"/>
      <c r="G440" s="4"/>
      <c r="H440" s="4"/>
      <c r="I440" s="4"/>
      <c r="J440" s="4"/>
      <c r="K440" s="4"/>
      <c r="L440" s="4"/>
      <c r="M440" s="4"/>
      <c r="N440" s="4"/>
      <c r="O440" s="4"/>
      <c r="P440" s="4"/>
      <c r="Q440" s="4"/>
      <c r="R440" s="4"/>
      <c r="S440" s="4"/>
      <c r="T440" s="4"/>
      <c r="U440" s="4"/>
    </row>
    <row r="441" spans="1:21" x14ac:dyDescent="0.25">
      <c r="A441" s="4"/>
      <c r="B441" s="4"/>
      <c r="C441" s="4"/>
      <c r="D441" s="4"/>
      <c r="E441" s="4"/>
      <c r="F441" s="4"/>
      <c r="G441" s="4"/>
      <c r="H441" s="4"/>
      <c r="I441" s="4"/>
      <c r="J441" s="4"/>
      <c r="K441" s="4"/>
      <c r="L441" s="4"/>
      <c r="M441" s="4"/>
      <c r="N441" s="4"/>
      <c r="O441" s="4"/>
      <c r="P441" s="4"/>
      <c r="Q441" s="4"/>
      <c r="R441" s="4"/>
      <c r="S441" s="4"/>
      <c r="T441" s="4"/>
      <c r="U441" s="4"/>
    </row>
    <row r="442" spans="1:21" x14ac:dyDescent="0.25">
      <c r="A442" s="4"/>
      <c r="B442" s="4"/>
      <c r="C442" s="4"/>
      <c r="D442" s="4"/>
      <c r="E442" s="4"/>
      <c r="F442" s="4"/>
      <c r="G442" s="4"/>
      <c r="H442" s="4"/>
      <c r="I442" s="4"/>
      <c r="J442" s="4"/>
      <c r="K442" s="4"/>
      <c r="L442" s="4"/>
      <c r="M442" s="4"/>
      <c r="N442" s="4"/>
      <c r="O442" s="4"/>
      <c r="P442" s="4"/>
      <c r="Q442" s="4"/>
      <c r="R442" s="4"/>
      <c r="S442" s="4"/>
      <c r="T442" s="4"/>
      <c r="U442" s="4"/>
    </row>
    <row r="443" spans="1:21" x14ac:dyDescent="0.25">
      <c r="A443" s="4"/>
      <c r="B443" s="4"/>
      <c r="C443" s="4"/>
      <c r="D443" s="4"/>
      <c r="E443" s="4"/>
      <c r="F443" s="4"/>
      <c r="G443" s="4"/>
      <c r="H443" s="4"/>
      <c r="I443" s="4"/>
      <c r="J443" s="4"/>
      <c r="K443" s="4"/>
      <c r="L443" s="4"/>
      <c r="M443" s="4"/>
      <c r="N443" s="4"/>
      <c r="O443" s="4"/>
      <c r="P443" s="4"/>
      <c r="Q443" s="4"/>
      <c r="R443" s="4"/>
      <c r="S443" s="4"/>
      <c r="T443" s="4"/>
      <c r="U443" s="4"/>
    </row>
    <row r="444" spans="1:21" x14ac:dyDescent="0.25">
      <c r="A444" s="4"/>
      <c r="B444" s="4"/>
      <c r="C444" s="4"/>
      <c r="D444" s="4"/>
      <c r="E444" s="4"/>
      <c r="F444" s="4"/>
      <c r="G444" s="4"/>
      <c r="H444" s="4"/>
      <c r="I444" s="4"/>
      <c r="J444" s="4"/>
      <c r="K444" s="4"/>
      <c r="L444" s="4"/>
      <c r="M444" s="4"/>
      <c r="N444" s="4"/>
      <c r="O444" s="4"/>
      <c r="P444" s="4"/>
      <c r="Q444" s="4"/>
      <c r="R444" s="4"/>
      <c r="S444" s="4"/>
      <c r="T444" s="4"/>
      <c r="U444" s="4"/>
    </row>
    <row r="445" spans="1:21" x14ac:dyDescent="0.25">
      <c r="A445" s="4"/>
      <c r="B445" s="4"/>
      <c r="C445" s="4"/>
      <c r="D445" s="4"/>
      <c r="E445" s="4"/>
      <c r="F445" s="4"/>
      <c r="G445" s="4"/>
      <c r="H445" s="4"/>
      <c r="I445" s="4"/>
      <c r="J445" s="4"/>
      <c r="K445" s="4"/>
      <c r="L445" s="4"/>
      <c r="M445" s="4"/>
      <c r="N445" s="4"/>
      <c r="O445" s="4"/>
      <c r="P445" s="4"/>
      <c r="Q445" s="4"/>
      <c r="R445" s="4"/>
      <c r="S445" s="4"/>
      <c r="T445" s="4"/>
      <c r="U445" s="4"/>
    </row>
    <row r="446" spans="1:21" x14ac:dyDescent="0.25">
      <c r="A446" s="4"/>
      <c r="B446" s="4"/>
      <c r="C446" s="4"/>
      <c r="D446" s="4"/>
      <c r="E446" s="4"/>
      <c r="F446" s="4"/>
      <c r="G446" s="4"/>
      <c r="H446" s="4"/>
      <c r="I446" s="4"/>
      <c r="J446" s="4"/>
      <c r="K446" s="4"/>
      <c r="L446" s="4"/>
      <c r="M446" s="4"/>
      <c r="N446" s="4"/>
      <c r="O446" s="4"/>
      <c r="P446" s="4"/>
      <c r="Q446" s="4"/>
      <c r="R446" s="4"/>
      <c r="S446" s="4"/>
      <c r="T446" s="4"/>
      <c r="U446" s="4"/>
    </row>
    <row r="447" spans="1:21" x14ac:dyDescent="0.25">
      <c r="A447" s="4"/>
      <c r="B447" s="4"/>
      <c r="C447" s="4"/>
      <c r="D447" s="4"/>
      <c r="E447" s="4"/>
      <c r="F447" s="4"/>
      <c r="G447" s="4"/>
      <c r="H447" s="4"/>
      <c r="I447" s="4"/>
      <c r="J447" s="4"/>
      <c r="K447" s="4"/>
      <c r="L447" s="4"/>
      <c r="M447" s="4"/>
      <c r="N447" s="4"/>
      <c r="O447" s="4"/>
      <c r="P447" s="4"/>
      <c r="Q447" s="4"/>
      <c r="R447" s="4"/>
      <c r="S447" s="4"/>
      <c r="T447" s="4"/>
      <c r="U447" s="4"/>
    </row>
    <row r="448" spans="1:21" x14ac:dyDescent="0.25">
      <c r="A448" s="4"/>
      <c r="B448" s="4"/>
      <c r="C448" s="4"/>
      <c r="D448" s="4"/>
      <c r="E448" s="4"/>
      <c r="F448" s="4"/>
      <c r="G448" s="4"/>
      <c r="H448" s="4"/>
      <c r="I448" s="4"/>
      <c r="J448" s="4"/>
      <c r="K448" s="4"/>
      <c r="L448" s="4"/>
      <c r="M448" s="4"/>
      <c r="N448" s="4"/>
      <c r="O448" s="4"/>
      <c r="P448" s="4"/>
      <c r="Q448" s="4"/>
      <c r="R448" s="4"/>
      <c r="S448" s="4"/>
      <c r="T448" s="4"/>
      <c r="U448" s="4"/>
    </row>
    <row r="449" spans="1:21" x14ac:dyDescent="0.25">
      <c r="A449" s="4"/>
      <c r="B449" s="4"/>
      <c r="C449" s="4"/>
      <c r="D449" s="4"/>
      <c r="E449" s="4"/>
      <c r="F449" s="4"/>
      <c r="G449" s="4"/>
      <c r="H449" s="4"/>
      <c r="I449" s="4"/>
      <c r="J449" s="4"/>
      <c r="K449" s="4"/>
      <c r="L449" s="4"/>
      <c r="M449" s="4"/>
      <c r="N449" s="4"/>
      <c r="O449" s="4"/>
      <c r="P449" s="4"/>
      <c r="Q449" s="4"/>
      <c r="R449" s="4"/>
      <c r="S449" s="4"/>
      <c r="T449" s="4"/>
      <c r="U449" s="4"/>
    </row>
    <row r="450" spans="1:21" x14ac:dyDescent="0.25">
      <c r="A450" s="4"/>
      <c r="B450" s="4"/>
      <c r="C450" s="4"/>
      <c r="D450" s="4"/>
      <c r="E450" s="4"/>
      <c r="F450" s="4"/>
      <c r="G450" s="4"/>
      <c r="H450" s="4"/>
      <c r="I450" s="4"/>
      <c r="J450" s="4"/>
      <c r="K450" s="4"/>
      <c r="L450" s="4"/>
      <c r="M450" s="4"/>
      <c r="N450" s="4"/>
      <c r="O450" s="4"/>
      <c r="P450" s="4"/>
      <c r="Q450" s="4"/>
      <c r="R450" s="4"/>
      <c r="S450" s="4"/>
      <c r="T450" s="4"/>
      <c r="U450" s="4"/>
    </row>
    <row r="451" spans="1:21" x14ac:dyDescent="0.25">
      <c r="A451" s="4"/>
      <c r="B451" s="4"/>
      <c r="C451" s="4"/>
      <c r="D451" s="4"/>
      <c r="E451" s="4"/>
      <c r="F451" s="4"/>
      <c r="G451" s="4"/>
      <c r="H451" s="4"/>
      <c r="I451" s="4"/>
      <c r="J451" s="4"/>
      <c r="K451" s="4"/>
      <c r="L451" s="4"/>
      <c r="M451" s="4"/>
      <c r="N451" s="4"/>
      <c r="O451" s="4"/>
      <c r="P451" s="4"/>
      <c r="Q451" s="4"/>
      <c r="R451" s="4"/>
      <c r="S451" s="4"/>
      <c r="T451" s="4"/>
      <c r="U451" s="4"/>
    </row>
    <row r="452" spans="1:21" x14ac:dyDescent="0.25">
      <c r="A452" s="4"/>
      <c r="B452" s="4"/>
      <c r="C452" s="4"/>
      <c r="D452" s="4"/>
      <c r="E452" s="4"/>
      <c r="F452" s="4"/>
      <c r="G452" s="4"/>
      <c r="H452" s="4"/>
      <c r="I452" s="4"/>
      <c r="J452" s="4"/>
      <c r="K452" s="4"/>
      <c r="L452" s="4"/>
      <c r="M452" s="4"/>
      <c r="N452" s="4"/>
      <c r="O452" s="4"/>
      <c r="P452" s="4"/>
      <c r="Q452" s="4"/>
      <c r="R452" s="4"/>
      <c r="S452" s="4"/>
      <c r="T452" s="4"/>
      <c r="U452" s="4"/>
    </row>
    <row r="453" spans="1:21" x14ac:dyDescent="0.25">
      <c r="A453" s="4"/>
      <c r="B453" s="4"/>
      <c r="C453" s="4"/>
      <c r="D453" s="4"/>
      <c r="E453" s="4"/>
      <c r="F453" s="4"/>
      <c r="G453" s="4"/>
      <c r="H453" s="4"/>
      <c r="I453" s="4"/>
      <c r="J453" s="4"/>
      <c r="K453" s="4"/>
      <c r="L453" s="4"/>
      <c r="M453" s="4"/>
      <c r="N453" s="4"/>
      <c r="O453" s="4"/>
      <c r="P453" s="4"/>
      <c r="Q453" s="4"/>
      <c r="R453" s="4"/>
      <c r="S453" s="4"/>
      <c r="T453" s="4"/>
      <c r="U453" s="4"/>
    </row>
    <row r="454" spans="1:21" x14ac:dyDescent="0.25">
      <c r="A454" s="4"/>
      <c r="B454" s="4"/>
      <c r="C454" s="4"/>
      <c r="D454" s="4"/>
      <c r="E454" s="4"/>
      <c r="F454" s="4"/>
      <c r="G454" s="4"/>
      <c r="H454" s="4"/>
      <c r="I454" s="4"/>
      <c r="J454" s="4"/>
      <c r="K454" s="4"/>
      <c r="L454" s="4"/>
      <c r="M454" s="4"/>
      <c r="N454" s="4"/>
      <c r="O454" s="4"/>
      <c r="P454" s="4"/>
      <c r="Q454" s="4"/>
      <c r="R454" s="4"/>
      <c r="S454" s="4"/>
      <c r="T454" s="4"/>
      <c r="U454" s="4"/>
    </row>
    <row r="455" spans="1:21" x14ac:dyDescent="0.25">
      <c r="A455" s="4"/>
      <c r="B455" s="4"/>
      <c r="C455" s="4"/>
      <c r="D455" s="4"/>
      <c r="E455" s="4"/>
      <c r="F455" s="4"/>
      <c r="G455" s="4"/>
      <c r="H455" s="4"/>
      <c r="I455" s="4"/>
      <c r="J455" s="4"/>
      <c r="K455" s="4"/>
      <c r="L455" s="4"/>
      <c r="M455" s="4"/>
      <c r="N455" s="4"/>
      <c r="O455" s="4"/>
      <c r="P455" s="4"/>
      <c r="Q455" s="4"/>
      <c r="R455" s="4"/>
      <c r="S455" s="4"/>
      <c r="T455" s="4"/>
      <c r="U455" s="4"/>
    </row>
    <row r="456" spans="1:21" x14ac:dyDescent="0.25">
      <c r="A456" s="4"/>
      <c r="B456" s="4"/>
      <c r="C456" s="4"/>
      <c r="D456" s="4"/>
      <c r="E456" s="4"/>
      <c r="F456" s="4"/>
      <c r="G456" s="4"/>
      <c r="H456" s="4"/>
      <c r="I456" s="4"/>
      <c r="J456" s="4"/>
      <c r="K456" s="4"/>
      <c r="L456" s="4"/>
      <c r="M456" s="4"/>
      <c r="N456" s="4"/>
      <c r="O456" s="4"/>
      <c r="P456" s="4"/>
      <c r="Q456" s="4"/>
      <c r="R456" s="4"/>
      <c r="S456" s="4"/>
      <c r="T456" s="4"/>
      <c r="U456" s="4"/>
    </row>
    <row r="457" spans="1:21" x14ac:dyDescent="0.25">
      <c r="A457" s="4"/>
      <c r="B457" s="4"/>
      <c r="C457" s="4"/>
      <c r="D457" s="4"/>
      <c r="E457" s="4"/>
      <c r="F457" s="4"/>
      <c r="G457" s="4"/>
      <c r="H457" s="4"/>
      <c r="I457" s="4"/>
      <c r="J457" s="4"/>
      <c r="K457" s="4"/>
      <c r="L457" s="4"/>
      <c r="M457" s="4"/>
      <c r="N457" s="4"/>
      <c r="O457" s="4"/>
      <c r="P457" s="4"/>
      <c r="Q457" s="4"/>
      <c r="R457" s="4"/>
      <c r="S457" s="4"/>
      <c r="T457" s="4"/>
      <c r="U457" s="4"/>
    </row>
    <row r="458" spans="1:21" x14ac:dyDescent="0.25">
      <c r="A458" s="4"/>
      <c r="B458" s="4"/>
      <c r="C458" s="4"/>
      <c r="D458" s="4"/>
      <c r="E458" s="4"/>
      <c r="F458" s="4"/>
      <c r="G458" s="4"/>
      <c r="H458" s="4"/>
      <c r="I458" s="4"/>
      <c r="J458" s="4"/>
      <c r="K458" s="4"/>
      <c r="L458" s="4"/>
      <c r="M458" s="4"/>
      <c r="N458" s="4"/>
      <c r="O458" s="4"/>
      <c r="P458" s="4"/>
      <c r="Q458" s="4"/>
      <c r="R458" s="4"/>
      <c r="S458" s="4"/>
      <c r="T458" s="4"/>
      <c r="U458" s="4"/>
    </row>
    <row r="459" spans="1:21" x14ac:dyDescent="0.25">
      <c r="A459" s="4"/>
      <c r="B459" s="4"/>
      <c r="C459" s="4"/>
      <c r="D459" s="4"/>
      <c r="E459" s="4"/>
      <c r="F459" s="4"/>
      <c r="G459" s="4"/>
      <c r="H459" s="4"/>
      <c r="I459" s="4"/>
      <c r="J459" s="4"/>
      <c r="K459" s="4"/>
      <c r="L459" s="4"/>
      <c r="M459" s="4"/>
      <c r="N459" s="4"/>
      <c r="O459" s="4"/>
      <c r="P459" s="4"/>
      <c r="Q459" s="4"/>
      <c r="R459" s="4"/>
      <c r="S459" s="4"/>
      <c r="T459" s="4"/>
      <c r="U459" s="4"/>
    </row>
    <row r="460" spans="1:21" x14ac:dyDescent="0.25">
      <c r="A460" s="4"/>
      <c r="B460" s="4"/>
      <c r="C460" s="4"/>
      <c r="D460" s="4"/>
      <c r="E460" s="4"/>
      <c r="F460" s="4"/>
      <c r="G460" s="4"/>
      <c r="H460" s="4"/>
      <c r="I460" s="4"/>
      <c r="J460" s="4"/>
      <c r="K460" s="4"/>
      <c r="L460" s="4"/>
      <c r="M460" s="4"/>
      <c r="N460" s="4"/>
      <c r="O460" s="4"/>
      <c r="P460" s="4"/>
      <c r="Q460" s="4"/>
      <c r="R460" s="4"/>
      <c r="S460" s="4"/>
      <c r="T460" s="4"/>
      <c r="U460" s="4"/>
    </row>
    <row r="461" spans="1:21" x14ac:dyDescent="0.25">
      <c r="A461" s="4"/>
      <c r="B461" s="4"/>
      <c r="C461" s="4"/>
      <c r="D461" s="4"/>
      <c r="E461" s="4"/>
      <c r="F461" s="4"/>
      <c r="G461" s="4"/>
      <c r="H461" s="4"/>
      <c r="I461" s="4"/>
      <c r="J461" s="4"/>
      <c r="K461" s="4"/>
      <c r="L461" s="4"/>
      <c r="M461" s="4"/>
      <c r="N461" s="4"/>
      <c r="O461" s="4"/>
      <c r="P461" s="4"/>
      <c r="Q461" s="4"/>
      <c r="R461" s="4"/>
      <c r="S461" s="4"/>
      <c r="T461" s="4"/>
      <c r="U461" s="4"/>
    </row>
    <row r="462" spans="1:21" x14ac:dyDescent="0.25">
      <c r="A462" s="4"/>
      <c r="B462" s="4"/>
      <c r="C462" s="4"/>
      <c r="D462" s="4"/>
      <c r="E462" s="4"/>
      <c r="F462" s="4"/>
      <c r="G462" s="4"/>
      <c r="H462" s="4"/>
      <c r="I462" s="4"/>
      <c r="J462" s="4"/>
      <c r="K462" s="4"/>
      <c r="L462" s="4"/>
      <c r="M462" s="4"/>
      <c r="N462" s="4"/>
      <c r="O462" s="4"/>
      <c r="P462" s="4"/>
      <c r="Q462" s="4"/>
      <c r="R462" s="4"/>
      <c r="S462" s="4"/>
      <c r="T462" s="4"/>
      <c r="U462" s="4"/>
    </row>
    <row r="463" spans="1:21" x14ac:dyDescent="0.25">
      <c r="A463" s="4"/>
      <c r="B463" s="4"/>
      <c r="C463" s="4"/>
      <c r="D463" s="4"/>
      <c r="E463" s="4"/>
      <c r="F463" s="4"/>
      <c r="G463" s="4"/>
      <c r="H463" s="4"/>
      <c r="I463" s="4"/>
      <c r="J463" s="4"/>
      <c r="K463" s="4"/>
      <c r="L463" s="4"/>
      <c r="M463" s="4"/>
      <c r="N463" s="4"/>
      <c r="O463" s="4"/>
      <c r="P463" s="4"/>
      <c r="Q463" s="4"/>
      <c r="R463" s="4"/>
      <c r="S463" s="4"/>
      <c r="T463" s="4"/>
      <c r="U463" s="4"/>
    </row>
    <row r="464" spans="1:21" x14ac:dyDescent="0.25">
      <c r="A464" s="4"/>
      <c r="B464" s="4"/>
      <c r="C464" s="4"/>
      <c r="D464" s="4"/>
      <c r="E464" s="4"/>
      <c r="F464" s="4"/>
      <c r="G464" s="4"/>
      <c r="H464" s="4"/>
      <c r="I464" s="4"/>
      <c r="J464" s="4"/>
      <c r="K464" s="4"/>
      <c r="L464" s="4"/>
      <c r="M464" s="4"/>
      <c r="N464" s="4"/>
      <c r="O464" s="4"/>
      <c r="P464" s="4"/>
      <c r="Q464" s="4"/>
      <c r="R464" s="4"/>
      <c r="S464" s="4"/>
      <c r="T464" s="4"/>
      <c r="U464" s="4"/>
    </row>
    <row r="465" spans="1:21" x14ac:dyDescent="0.25">
      <c r="A465" s="4"/>
      <c r="B465" s="4"/>
      <c r="C465" s="4"/>
      <c r="D465" s="4"/>
      <c r="E465" s="4"/>
      <c r="F465" s="4"/>
      <c r="G465" s="4"/>
      <c r="H465" s="4"/>
      <c r="I465" s="4"/>
      <c r="J465" s="4"/>
      <c r="K465" s="4"/>
      <c r="L465" s="4"/>
      <c r="M465" s="4"/>
      <c r="N465" s="4"/>
      <c r="O465" s="4"/>
      <c r="P465" s="4"/>
      <c r="Q465" s="4"/>
      <c r="R465" s="4"/>
      <c r="S465" s="4"/>
      <c r="T465" s="4"/>
      <c r="U465" s="4"/>
    </row>
    <row r="466" spans="1:21" x14ac:dyDescent="0.25">
      <c r="A466" s="4"/>
      <c r="B466" s="4"/>
      <c r="C466" s="4"/>
      <c r="D466" s="4"/>
      <c r="E466" s="4"/>
      <c r="F466" s="4"/>
      <c r="G466" s="4"/>
      <c r="H466" s="4"/>
      <c r="I466" s="4"/>
      <c r="J466" s="4"/>
      <c r="K466" s="4"/>
      <c r="L466" s="4"/>
      <c r="M466" s="4"/>
      <c r="N466" s="4"/>
      <c r="O466" s="4"/>
      <c r="P466" s="4"/>
      <c r="Q466" s="4"/>
      <c r="R466" s="4"/>
      <c r="S466" s="4"/>
      <c r="T466" s="4"/>
      <c r="U466" s="4"/>
    </row>
    <row r="467" spans="1:21" x14ac:dyDescent="0.25">
      <c r="A467" s="4"/>
      <c r="B467" s="4"/>
      <c r="C467" s="4"/>
      <c r="D467" s="4"/>
      <c r="E467" s="4"/>
      <c r="F467" s="4"/>
      <c r="G467" s="4"/>
      <c r="H467" s="4"/>
      <c r="I467" s="4"/>
      <c r="J467" s="4"/>
      <c r="K467" s="4"/>
      <c r="L467" s="4"/>
      <c r="M467" s="4"/>
      <c r="N467" s="4"/>
      <c r="O467" s="4"/>
      <c r="P467" s="4"/>
      <c r="Q467" s="4"/>
      <c r="R467" s="4"/>
      <c r="S467" s="4"/>
      <c r="T467" s="4"/>
      <c r="U467" s="4"/>
    </row>
    <row r="468" spans="1:21" x14ac:dyDescent="0.25">
      <c r="A468" s="4"/>
      <c r="B468" s="4"/>
      <c r="C468" s="4"/>
      <c r="D468" s="4"/>
      <c r="E468" s="4"/>
      <c r="F468" s="4"/>
      <c r="G468" s="4"/>
      <c r="H468" s="4"/>
      <c r="I468" s="4"/>
      <c r="J468" s="4"/>
      <c r="K468" s="4"/>
      <c r="L468" s="4"/>
      <c r="M468" s="4"/>
      <c r="N468" s="4"/>
      <c r="O468" s="4"/>
      <c r="P468" s="4"/>
      <c r="Q468" s="4"/>
      <c r="R468" s="4"/>
      <c r="S468" s="4"/>
      <c r="T468" s="4"/>
      <c r="U468" s="4"/>
    </row>
    <row r="469" spans="1:21" x14ac:dyDescent="0.25">
      <c r="A469" s="4"/>
      <c r="B469" s="4"/>
      <c r="C469" s="4"/>
      <c r="D469" s="4"/>
      <c r="E469" s="4"/>
      <c r="F469" s="4"/>
      <c r="G469" s="4"/>
      <c r="H469" s="4"/>
      <c r="I469" s="4"/>
      <c r="J469" s="4"/>
      <c r="K469" s="4"/>
      <c r="L469" s="4"/>
      <c r="M469" s="4"/>
      <c r="N469" s="4"/>
      <c r="O469" s="4"/>
      <c r="P469" s="4"/>
      <c r="Q469" s="4"/>
      <c r="R469" s="4"/>
      <c r="S469" s="4"/>
      <c r="T469" s="4"/>
      <c r="U469" s="4"/>
    </row>
    <row r="470" spans="1:21" x14ac:dyDescent="0.25">
      <c r="A470" s="4"/>
      <c r="B470" s="4"/>
      <c r="C470" s="4"/>
      <c r="D470" s="4"/>
      <c r="E470" s="4"/>
      <c r="F470" s="4"/>
      <c r="G470" s="4"/>
      <c r="H470" s="4"/>
      <c r="I470" s="4"/>
      <c r="J470" s="4"/>
      <c r="K470" s="4"/>
      <c r="L470" s="4"/>
      <c r="M470" s="4"/>
      <c r="N470" s="4"/>
      <c r="O470" s="4"/>
      <c r="P470" s="4"/>
      <c r="Q470" s="4"/>
      <c r="R470" s="4"/>
      <c r="S470" s="4"/>
      <c r="T470" s="4"/>
      <c r="U470" s="4"/>
    </row>
    <row r="471" spans="1:21" x14ac:dyDescent="0.25">
      <c r="A471" s="4"/>
      <c r="B471" s="4"/>
      <c r="C471" s="4"/>
      <c r="D471" s="4"/>
      <c r="E471" s="4"/>
      <c r="F471" s="4"/>
      <c r="G471" s="4"/>
      <c r="H471" s="4"/>
      <c r="I471" s="4"/>
      <c r="J471" s="4"/>
      <c r="K471" s="4"/>
      <c r="L471" s="4"/>
      <c r="M471" s="4"/>
      <c r="N471" s="4"/>
      <c r="O471" s="4"/>
      <c r="P471" s="4"/>
      <c r="Q471" s="4"/>
      <c r="R471" s="4"/>
      <c r="S471" s="4"/>
      <c r="T471" s="4"/>
      <c r="U471" s="4"/>
    </row>
    <row r="472" spans="1:21" x14ac:dyDescent="0.25">
      <c r="A472" s="4"/>
      <c r="B472" s="4"/>
      <c r="C472" s="4"/>
      <c r="D472" s="4"/>
      <c r="E472" s="4"/>
      <c r="F472" s="4"/>
      <c r="G472" s="4"/>
      <c r="H472" s="4"/>
      <c r="I472" s="4"/>
      <c r="J472" s="4"/>
      <c r="K472" s="4"/>
      <c r="L472" s="4"/>
      <c r="M472" s="4"/>
      <c r="N472" s="4"/>
      <c r="O472" s="4"/>
      <c r="P472" s="4"/>
      <c r="Q472" s="4"/>
      <c r="R472" s="4"/>
      <c r="S472" s="4"/>
      <c r="T472" s="4"/>
      <c r="U472" s="4"/>
    </row>
    <row r="473" spans="1:21" x14ac:dyDescent="0.25">
      <c r="A473" s="4"/>
      <c r="B473" s="4"/>
      <c r="C473" s="4"/>
      <c r="D473" s="4"/>
      <c r="E473" s="4"/>
      <c r="F473" s="4"/>
      <c r="G473" s="4"/>
      <c r="H473" s="4"/>
      <c r="I473" s="4"/>
      <c r="J473" s="4"/>
      <c r="K473" s="4"/>
      <c r="L473" s="4"/>
      <c r="M473" s="4"/>
      <c r="N473" s="4"/>
      <c r="O473" s="4"/>
      <c r="P473" s="4"/>
      <c r="Q473" s="4"/>
      <c r="R473" s="4"/>
      <c r="S473" s="4"/>
      <c r="T473" s="4"/>
      <c r="U473" s="4"/>
    </row>
    <row r="474" spans="1:21" x14ac:dyDescent="0.25">
      <c r="A474" s="4"/>
      <c r="B474" s="4"/>
      <c r="C474" s="4"/>
      <c r="D474" s="4"/>
      <c r="E474" s="4"/>
      <c r="F474" s="4"/>
      <c r="G474" s="4"/>
      <c r="H474" s="4"/>
      <c r="I474" s="4"/>
      <c r="J474" s="4"/>
      <c r="K474" s="4"/>
      <c r="L474" s="4"/>
      <c r="M474" s="4"/>
      <c r="N474" s="4"/>
      <c r="O474" s="4"/>
      <c r="P474" s="4"/>
      <c r="Q474" s="4"/>
      <c r="R474" s="4"/>
      <c r="S474" s="4"/>
      <c r="T474" s="4"/>
      <c r="U474" s="4"/>
    </row>
    <row r="475" spans="1:21" x14ac:dyDescent="0.25">
      <c r="A475" s="4"/>
      <c r="B475" s="4"/>
      <c r="C475" s="4"/>
      <c r="D475" s="4"/>
      <c r="E475" s="4"/>
      <c r="F475" s="4"/>
      <c r="G475" s="4"/>
      <c r="H475" s="4"/>
      <c r="I475" s="4"/>
      <c r="J475" s="4"/>
      <c r="K475" s="4"/>
      <c r="L475" s="4"/>
      <c r="M475" s="4"/>
      <c r="N475" s="4"/>
      <c r="O475" s="4"/>
      <c r="P475" s="4"/>
      <c r="Q475" s="4"/>
      <c r="R475" s="4"/>
      <c r="S475" s="4"/>
      <c r="T475" s="4"/>
      <c r="U475" s="4"/>
    </row>
    <row r="476" spans="1:21" x14ac:dyDescent="0.25">
      <c r="A476" s="4"/>
      <c r="B476" s="4"/>
      <c r="C476" s="4"/>
      <c r="D476" s="4"/>
      <c r="E476" s="4"/>
      <c r="F476" s="4"/>
      <c r="G476" s="4"/>
      <c r="H476" s="4"/>
      <c r="I476" s="4"/>
      <c r="J476" s="4"/>
      <c r="K476" s="4"/>
      <c r="L476" s="4"/>
      <c r="M476" s="4"/>
      <c r="N476" s="4"/>
      <c r="O476" s="4"/>
      <c r="P476" s="4"/>
      <c r="Q476" s="4"/>
      <c r="R476" s="4"/>
      <c r="S476" s="4"/>
      <c r="T476" s="4"/>
      <c r="U476" s="4"/>
    </row>
    <row r="477" spans="1:21" x14ac:dyDescent="0.25">
      <c r="A477" s="4"/>
      <c r="B477" s="4"/>
      <c r="C477" s="4"/>
      <c r="D477" s="4"/>
      <c r="E477" s="4"/>
      <c r="F477" s="4"/>
      <c r="G477" s="4"/>
      <c r="H477" s="4"/>
      <c r="I477" s="4"/>
      <c r="J477" s="4"/>
      <c r="K477" s="4"/>
      <c r="L477" s="4"/>
      <c r="M477" s="4"/>
      <c r="N477" s="4"/>
      <c r="O477" s="4"/>
      <c r="P477" s="4"/>
      <c r="Q477" s="4"/>
      <c r="R477" s="4"/>
      <c r="S477" s="4"/>
      <c r="T477" s="4"/>
      <c r="U477" s="4"/>
    </row>
    <row r="478" spans="1:21" x14ac:dyDescent="0.25">
      <c r="A478" s="4"/>
      <c r="B478" s="4"/>
      <c r="C478" s="4"/>
      <c r="D478" s="4"/>
      <c r="E478" s="4"/>
      <c r="F478" s="4"/>
      <c r="G478" s="4"/>
      <c r="H478" s="4"/>
      <c r="I478" s="4"/>
      <c r="J478" s="4"/>
      <c r="K478" s="4"/>
      <c r="L478" s="4"/>
      <c r="M478" s="4"/>
      <c r="N478" s="4"/>
      <c r="O478" s="4"/>
      <c r="P478" s="4"/>
      <c r="Q478" s="4"/>
      <c r="R478" s="4"/>
      <c r="S478" s="4"/>
      <c r="T478" s="4"/>
      <c r="U478" s="4"/>
    </row>
    <row r="479" spans="1:21" x14ac:dyDescent="0.25">
      <c r="A479" s="4"/>
      <c r="B479" s="4"/>
      <c r="C479" s="4"/>
      <c r="D479" s="4"/>
      <c r="E479" s="4"/>
      <c r="F479" s="4"/>
      <c r="G479" s="4"/>
      <c r="H479" s="4"/>
      <c r="I479" s="4"/>
      <c r="J479" s="4"/>
      <c r="K479" s="4"/>
      <c r="L479" s="4"/>
      <c r="M479" s="4"/>
      <c r="N479" s="4"/>
      <c r="O479" s="4"/>
      <c r="P479" s="4"/>
      <c r="Q479" s="4"/>
      <c r="R479" s="4"/>
      <c r="S479" s="4"/>
      <c r="T479" s="4"/>
      <c r="U479" s="4"/>
    </row>
    <row r="480" spans="1:21" x14ac:dyDescent="0.25">
      <c r="A480" s="4"/>
      <c r="B480" s="4"/>
      <c r="C480" s="4"/>
      <c r="D480" s="4"/>
      <c r="E480" s="4"/>
      <c r="F480" s="4"/>
      <c r="G480" s="4"/>
      <c r="H480" s="4"/>
      <c r="I480" s="4"/>
      <c r="J480" s="4"/>
      <c r="K480" s="4"/>
      <c r="L480" s="4"/>
      <c r="M480" s="4"/>
      <c r="N480" s="4"/>
      <c r="O480" s="4"/>
      <c r="P480" s="4"/>
      <c r="Q480" s="4"/>
      <c r="R480" s="4"/>
      <c r="S480" s="4"/>
      <c r="T480" s="4"/>
      <c r="U480" s="4"/>
    </row>
    <row r="481" spans="1:21" x14ac:dyDescent="0.25">
      <c r="A481" s="4"/>
      <c r="B481" s="4"/>
      <c r="C481" s="4"/>
      <c r="D481" s="4"/>
      <c r="E481" s="4"/>
      <c r="F481" s="4"/>
      <c r="G481" s="4"/>
      <c r="H481" s="4"/>
      <c r="I481" s="4"/>
      <c r="J481" s="4"/>
      <c r="K481" s="4"/>
      <c r="L481" s="4"/>
      <c r="M481" s="4"/>
      <c r="N481" s="4"/>
      <c r="O481" s="4"/>
      <c r="P481" s="4"/>
      <c r="Q481" s="4"/>
      <c r="R481" s="4"/>
      <c r="S481" s="4"/>
      <c r="T481" s="4"/>
      <c r="U481" s="4"/>
    </row>
    <row r="482" spans="1:21" x14ac:dyDescent="0.25">
      <c r="A482" s="4"/>
      <c r="B482" s="4"/>
      <c r="C482" s="4"/>
      <c r="D482" s="4"/>
      <c r="E482" s="4"/>
      <c r="F482" s="4"/>
      <c r="G482" s="4"/>
      <c r="H482" s="4"/>
      <c r="I482" s="4"/>
      <c r="J482" s="4"/>
      <c r="K482" s="4"/>
      <c r="L482" s="4"/>
      <c r="M482" s="4"/>
      <c r="N482" s="4"/>
      <c r="O482" s="4"/>
      <c r="P482" s="4"/>
      <c r="Q482" s="4"/>
      <c r="R482" s="4"/>
      <c r="S482" s="4"/>
      <c r="T482" s="4"/>
      <c r="U482" s="4"/>
    </row>
    <row r="483" spans="1:21" x14ac:dyDescent="0.25">
      <c r="A483" s="4"/>
      <c r="B483" s="4"/>
      <c r="C483" s="4"/>
      <c r="D483" s="4"/>
      <c r="E483" s="4"/>
      <c r="F483" s="4"/>
      <c r="G483" s="4"/>
      <c r="H483" s="4"/>
      <c r="I483" s="4"/>
      <c r="J483" s="4"/>
      <c r="K483" s="4"/>
      <c r="L483" s="4"/>
      <c r="M483" s="4"/>
      <c r="N483" s="4"/>
      <c r="O483" s="4"/>
      <c r="P483" s="4"/>
      <c r="Q483" s="4"/>
      <c r="R483" s="4"/>
      <c r="S483" s="4"/>
      <c r="T483" s="4"/>
      <c r="U483" s="4"/>
    </row>
    <row r="484" spans="1:21" x14ac:dyDescent="0.25">
      <c r="A484" s="4"/>
      <c r="B484" s="4"/>
      <c r="C484" s="4"/>
      <c r="D484" s="4"/>
      <c r="E484" s="4"/>
      <c r="F484" s="4"/>
      <c r="G484" s="4"/>
      <c r="H484" s="4"/>
      <c r="I484" s="4"/>
      <c r="J484" s="4"/>
      <c r="K484" s="4"/>
      <c r="L484" s="4"/>
      <c r="M484" s="4"/>
      <c r="N484" s="4"/>
      <c r="O484" s="4"/>
      <c r="P484" s="4"/>
      <c r="Q484" s="4"/>
      <c r="R484" s="4"/>
      <c r="S484" s="4"/>
      <c r="T484" s="4"/>
      <c r="U484" s="4"/>
    </row>
    <row r="485" spans="1:21" x14ac:dyDescent="0.25">
      <c r="A485" s="4"/>
      <c r="B485" s="4"/>
      <c r="C485" s="4"/>
      <c r="D485" s="4"/>
      <c r="E485" s="4"/>
      <c r="F485" s="4"/>
      <c r="G485" s="4"/>
      <c r="H485" s="4"/>
      <c r="I485" s="4"/>
      <c r="J485" s="4"/>
      <c r="K485" s="4"/>
      <c r="L485" s="4"/>
      <c r="M485" s="4"/>
      <c r="N485" s="4"/>
      <c r="O485" s="4"/>
      <c r="P485" s="4"/>
      <c r="Q485" s="4"/>
      <c r="R485" s="4"/>
      <c r="S485" s="4"/>
      <c r="T485" s="4"/>
      <c r="U485" s="4"/>
    </row>
    <row r="486" spans="1:21" x14ac:dyDescent="0.25">
      <c r="A486" s="4"/>
      <c r="B486" s="4"/>
      <c r="C486" s="4"/>
      <c r="D486" s="4"/>
      <c r="E486" s="4"/>
      <c r="F486" s="4"/>
      <c r="G486" s="4"/>
      <c r="H486" s="4"/>
      <c r="I486" s="4"/>
      <c r="J486" s="4"/>
      <c r="K486" s="4"/>
      <c r="L486" s="4"/>
      <c r="M486" s="4"/>
      <c r="N486" s="4"/>
      <c r="O486" s="4"/>
      <c r="P486" s="4"/>
      <c r="Q486" s="4"/>
      <c r="R486" s="4"/>
      <c r="S486" s="4"/>
      <c r="T486" s="4"/>
      <c r="U486" s="4"/>
    </row>
    <row r="487" spans="1:21" x14ac:dyDescent="0.25">
      <c r="A487" s="4"/>
      <c r="B487" s="4"/>
      <c r="C487" s="4"/>
      <c r="D487" s="4"/>
      <c r="E487" s="4"/>
      <c r="F487" s="4"/>
      <c r="G487" s="4"/>
      <c r="H487" s="4"/>
      <c r="I487" s="4"/>
      <c r="J487" s="4"/>
      <c r="K487" s="4"/>
      <c r="L487" s="4"/>
      <c r="M487" s="4"/>
      <c r="N487" s="4"/>
      <c r="O487" s="4"/>
      <c r="P487" s="4"/>
      <c r="Q487" s="4"/>
      <c r="R487" s="4"/>
      <c r="S487" s="4"/>
      <c r="T487" s="4"/>
      <c r="U487" s="4"/>
    </row>
    <row r="488" spans="1:21" x14ac:dyDescent="0.25">
      <c r="A488" s="4"/>
      <c r="B488" s="4"/>
      <c r="C488" s="4"/>
      <c r="D488" s="4"/>
      <c r="E488" s="4"/>
      <c r="F488" s="4"/>
      <c r="G488" s="4"/>
      <c r="H488" s="4"/>
      <c r="I488" s="4"/>
      <c r="J488" s="4"/>
      <c r="K488" s="4"/>
      <c r="L488" s="4"/>
      <c r="M488" s="4"/>
      <c r="N488" s="4"/>
      <c r="O488" s="4"/>
      <c r="P488" s="4"/>
      <c r="Q488" s="4"/>
      <c r="R488" s="4"/>
      <c r="S488" s="4"/>
      <c r="T488" s="4"/>
      <c r="U488" s="4"/>
    </row>
    <row r="489" spans="1:21" x14ac:dyDescent="0.25">
      <c r="A489" s="4"/>
      <c r="B489" s="4"/>
      <c r="C489" s="4"/>
      <c r="D489" s="4"/>
      <c r="E489" s="4"/>
      <c r="F489" s="4"/>
      <c r="G489" s="4"/>
      <c r="H489" s="4"/>
      <c r="I489" s="4"/>
      <c r="J489" s="4"/>
      <c r="K489" s="4"/>
      <c r="L489" s="4"/>
      <c r="M489" s="4"/>
      <c r="N489" s="4"/>
      <c r="O489" s="4"/>
      <c r="P489" s="4"/>
      <c r="Q489" s="4"/>
      <c r="R489" s="4"/>
      <c r="S489" s="4"/>
      <c r="T489" s="4"/>
      <c r="U489" s="4"/>
    </row>
    <row r="490" spans="1:21" x14ac:dyDescent="0.25">
      <c r="A490" s="4"/>
      <c r="B490" s="4"/>
      <c r="C490" s="4"/>
      <c r="D490" s="4"/>
      <c r="E490" s="4"/>
      <c r="F490" s="4"/>
      <c r="G490" s="4"/>
      <c r="H490" s="4"/>
      <c r="I490" s="4"/>
      <c r="J490" s="4"/>
      <c r="K490" s="4"/>
      <c r="L490" s="4"/>
      <c r="M490" s="4"/>
      <c r="N490" s="4"/>
      <c r="O490" s="4"/>
      <c r="P490" s="4"/>
      <c r="Q490" s="4"/>
      <c r="R490" s="4"/>
      <c r="S490" s="4"/>
      <c r="T490" s="4"/>
      <c r="U490" s="4"/>
    </row>
    <row r="491" spans="1:21" x14ac:dyDescent="0.25">
      <c r="A491" s="4"/>
      <c r="B491" s="4"/>
      <c r="C491" s="4"/>
      <c r="D491" s="4"/>
      <c r="E491" s="4"/>
      <c r="F491" s="4"/>
      <c r="G491" s="4"/>
      <c r="H491" s="4"/>
      <c r="I491" s="4"/>
      <c r="J491" s="4"/>
      <c r="K491" s="4"/>
      <c r="L491" s="4"/>
      <c r="M491" s="4"/>
      <c r="N491" s="4"/>
      <c r="O491" s="4"/>
      <c r="P491" s="4"/>
      <c r="Q491" s="4"/>
      <c r="R491" s="4"/>
      <c r="S491" s="4"/>
      <c r="T491" s="4"/>
      <c r="U491" s="4"/>
    </row>
    <row r="492" spans="1:21" x14ac:dyDescent="0.25">
      <c r="A492" s="4"/>
      <c r="B492" s="4"/>
      <c r="C492" s="4"/>
      <c r="D492" s="4"/>
      <c r="E492" s="4"/>
      <c r="F492" s="4"/>
      <c r="G492" s="4"/>
      <c r="H492" s="4"/>
      <c r="I492" s="4"/>
      <c r="J492" s="4"/>
      <c r="K492" s="4"/>
      <c r="L492" s="4"/>
      <c r="M492" s="4"/>
      <c r="N492" s="4"/>
      <c r="O492" s="4"/>
      <c r="P492" s="4"/>
      <c r="Q492" s="4"/>
      <c r="R492" s="4"/>
      <c r="S492" s="4"/>
      <c r="T492" s="4"/>
      <c r="U492" s="4"/>
    </row>
    <row r="493" spans="1:21" x14ac:dyDescent="0.25">
      <c r="A493" s="4"/>
      <c r="B493" s="4"/>
      <c r="C493" s="4"/>
      <c r="D493" s="4"/>
      <c r="E493" s="4"/>
      <c r="F493" s="4"/>
      <c r="G493" s="4"/>
      <c r="H493" s="4"/>
      <c r="I493" s="4"/>
      <c r="J493" s="4"/>
      <c r="K493" s="4"/>
      <c r="L493" s="4"/>
      <c r="M493" s="4"/>
      <c r="N493" s="4"/>
      <c r="O493" s="4"/>
      <c r="P493" s="4"/>
      <c r="Q493" s="4"/>
      <c r="R493" s="4"/>
      <c r="S493" s="4"/>
      <c r="T493" s="4"/>
      <c r="U493" s="4"/>
    </row>
    <row r="494" spans="1:21" x14ac:dyDescent="0.25">
      <c r="A494" s="4"/>
      <c r="B494" s="4"/>
      <c r="C494" s="4"/>
      <c r="D494" s="4"/>
      <c r="E494" s="4"/>
      <c r="F494" s="4"/>
      <c r="G494" s="4"/>
      <c r="H494" s="4"/>
      <c r="I494" s="4"/>
      <c r="J494" s="4"/>
      <c r="K494" s="4"/>
      <c r="L494" s="4"/>
      <c r="M494" s="4"/>
      <c r="N494" s="4"/>
      <c r="O494" s="4"/>
      <c r="P494" s="4"/>
      <c r="Q494" s="4"/>
      <c r="R494" s="4"/>
      <c r="S494" s="4"/>
      <c r="T494" s="4"/>
      <c r="U494" s="4"/>
    </row>
    <row r="495" spans="1:21" x14ac:dyDescent="0.25">
      <c r="A495" s="4"/>
      <c r="B495" s="4"/>
      <c r="C495" s="4"/>
      <c r="D495" s="4"/>
      <c r="E495" s="4"/>
      <c r="F495" s="4"/>
      <c r="G495" s="4"/>
      <c r="H495" s="4"/>
      <c r="I495" s="4"/>
      <c r="J495" s="4"/>
      <c r="K495" s="4"/>
      <c r="L495" s="4"/>
      <c r="M495" s="4"/>
      <c r="N495" s="4"/>
      <c r="O495" s="4"/>
      <c r="P495" s="4"/>
      <c r="Q495" s="4"/>
      <c r="R495" s="4"/>
      <c r="S495" s="4"/>
      <c r="T495" s="4"/>
      <c r="U495" s="4"/>
    </row>
    <row r="496" spans="1:21" x14ac:dyDescent="0.25">
      <c r="A496" s="4"/>
      <c r="B496" s="4"/>
      <c r="C496" s="4"/>
      <c r="D496" s="4"/>
      <c r="E496" s="4"/>
      <c r="F496" s="4"/>
      <c r="G496" s="4"/>
      <c r="H496" s="4"/>
      <c r="I496" s="4"/>
      <c r="J496" s="4"/>
      <c r="K496" s="4"/>
      <c r="L496" s="4"/>
      <c r="M496" s="4"/>
      <c r="N496" s="4"/>
      <c r="O496" s="4"/>
      <c r="P496" s="4"/>
      <c r="Q496" s="4"/>
      <c r="R496" s="4"/>
      <c r="S496" s="4"/>
      <c r="T496" s="4"/>
      <c r="U496" s="4"/>
    </row>
    <row r="497" spans="1:21" x14ac:dyDescent="0.25">
      <c r="A497" s="4"/>
      <c r="B497" s="4"/>
      <c r="C497" s="4"/>
      <c r="D497" s="4"/>
      <c r="E497" s="4"/>
      <c r="F497" s="4"/>
      <c r="G497" s="4"/>
      <c r="H497" s="4"/>
      <c r="I497" s="4"/>
      <c r="J497" s="4"/>
      <c r="K497" s="4"/>
      <c r="L497" s="4"/>
      <c r="M497" s="4"/>
      <c r="N497" s="4"/>
      <c r="O497" s="4"/>
      <c r="P497" s="4"/>
      <c r="Q497" s="4"/>
      <c r="R497" s="4"/>
      <c r="S497" s="4"/>
      <c r="T497" s="4"/>
      <c r="U497" s="4"/>
    </row>
    <row r="498" spans="1:21" x14ac:dyDescent="0.25">
      <c r="A498" s="4"/>
      <c r="B498" s="4"/>
      <c r="C498" s="4"/>
      <c r="D498" s="4"/>
      <c r="E498" s="4"/>
      <c r="F498" s="4"/>
      <c r="G498" s="4"/>
      <c r="H498" s="4"/>
      <c r="I498" s="4"/>
      <c r="J498" s="4"/>
      <c r="K498" s="4"/>
      <c r="L498" s="4"/>
      <c r="M498" s="4"/>
      <c r="N498" s="4"/>
      <c r="O498" s="4"/>
      <c r="P498" s="4"/>
      <c r="Q498" s="4"/>
      <c r="R498" s="4"/>
      <c r="S498" s="4"/>
      <c r="T498" s="4"/>
      <c r="U498" s="4"/>
    </row>
    <row r="499" spans="1:21" x14ac:dyDescent="0.25">
      <c r="A499" s="4"/>
      <c r="B499" s="4"/>
      <c r="C499" s="4"/>
      <c r="D499" s="4"/>
      <c r="E499" s="4"/>
      <c r="F499" s="4"/>
      <c r="G499" s="4"/>
      <c r="H499" s="4"/>
      <c r="I499" s="4"/>
      <c r="J499" s="4"/>
      <c r="K499" s="4"/>
      <c r="L499" s="4"/>
      <c r="M499" s="4"/>
      <c r="N499" s="4"/>
      <c r="O499" s="4"/>
      <c r="P499" s="4"/>
      <c r="Q499" s="4"/>
      <c r="R499" s="4"/>
      <c r="S499" s="4"/>
      <c r="T499" s="4"/>
      <c r="U499" s="4"/>
    </row>
    <row r="500" spans="1:21" x14ac:dyDescent="0.25">
      <c r="A500" s="4"/>
      <c r="B500" s="4"/>
      <c r="C500" s="4"/>
      <c r="D500" s="4"/>
      <c r="E500" s="4"/>
      <c r="F500" s="4"/>
      <c r="G500" s="4"/>
      <c r="H500" s="4"/>
      <c r="I500" s="4"/>
      <c r="J500" s="4"/>
      <c r="K500" s="4"/>
      <c r="L500" s="4"/>
      <c r="M500" s="4"/>
      <c r="N500" s="4"/>
      <c r="O500" s="4"/>
      <c r="P500" s="4"/>
      <c r="Q500" s="4"/>
      <c r="R500" s="4"/>
      <c r="S500" s="4"/>
      <c r="T500" s="4"/>
      <c r="U500" s="4"/>
    </row>
    <row r="501" spans="1:21" x14ac:dyDescent="0.25">
      <c r="A501" s="4"/>
      <c r="B501" s="4"/>
      <c r="C501" s="4"/>
      <c r="D501" s="4"/>
      <c r="E501" s="4"/>
      <c r="F501" s="4"/>
      <c r="G501" s="4"/>
      <c r="H501" s="4"/>
      <c r="I501" s="4"/>
      <c r="J501" s="4"/>
      <c r="K501" s="4"/>
      <c r="L501" s="4"/>
      <c r="M501" s="4"/>
      <c r="N501" s="4"/>
      <c r="O501" s="4"/>
      <c r="P501" s="4"/>
      <c r="Q501" s="4"/>
      <c r="R501" s="4"/>
      <c r="S501" s="4"/>
      <c r="T501" s="4"/>
      <c r="U501" s="4"/>
    </row>
    <row r="502" spans="1:21" x14ac:dyDescent="0.25">
      <c r="A502" s="4"/>
      <c r="B502" s="4"/>
      <c r="C502" s="4"/>
      <c r="D502" s="4"/>
      <c r="E502" s="4"/>
      <c r="F502" s="4"/>
      <c r="G502" s="4"/>
      <c r="H502" s="4"/>
      <c r="I502" s="4"/>
      <c r="J502" s="4"/>
      <c r="K502" s="4"/>
      <c r="L502" s="4"/>
      <c r="M502" s="4"/>
      <c r="N502" s="4"/>
      <c r="O502" s="4"/>
      <c r="P502" s="4"/>
      <c r="Q502" s="4"/>
      <c r="R502" s="4"/>
      <c r="S502" s="4"/>
      <c r="T502" s="4"/>
      <c r="U502" s="4"/>
    </row>
    <row r="503" spans="1:21" x14ac:dyDescent="0.25">
      <c r="A503" s="4"/>
      <c r="B503" s="4"/>
      <c r="C503" s="4"/>
      <c r="D503" s="4"/>
      <c r="E503" s="4"/>
      <c r="F503" s="4"/>
      <c r="G503" s="4"/>
      <c r="H503" s="4"/>
      <c r="I503" s="4"/>
      <c r="J503" s="4"/>
      <c r="K503" s="4"/>
      <c r="L503" s="4"/>
      <c r="M503" s="4"/>
      <c r="N503" s="4"/>
      <c r="O503" s="4"/>
      <c r="P503" s="4"/>
      <c r="Q503" s="4"/>
      <c r="R503" s="4"/>
      <c r="S503" s="4"/>
      <c r="T503" s="4"/>
      <c r="U503" s="4"/>
    </row>
    <row r="504" spans="1:21" x14ac:dyDescent="0.25">
      <c r="A504" s="4"/>
      <c r="B504" s="4"/>
      <c r="C504" s="4"/>
      <c r="D504" s="4"/>
      <c r="E504" s="4"/>
      <c r="F504" s="4"/>
      <c r="G504" s="4"/>
      <c r="H504" s="4"/>
      <c r="I504" s="4"/>
      <c r="J504" s="4"/>
      <c r="K504" s="4"/>
      <c r="L504" s="4"/>
      <c r="M504" s="4"/>
      <c r="N504" s="4"/>
      <c r="O504" s="4"/>
      <c r="P504" s="4"/>
      <c r="Q504" s="4"/>
      <c r="R504" s="4"/>
      <c r="S504" s="4"/>
      <c r="T504" s="4"/>
      <c r="U504" s="4"/>
    </row>
    <row r="505" spans="1:21" x14ac:dyDescent="0.25">
      <c r="A505" s="4"/>
      <c r="B505" s="4"/>
      <c r="C505" s="4"/>
      <c r="D505" s="4"/>
      <c r="E505" s="4"/>
      <c r="F505" s="4"/>
      <c r="G505" s="4"/>
      <c r="H505" s="4"/>
      <c r="I505" s="4"/>
      <c r="J505" s="4"/>
      <c r="K505" s="4"/>
      <c r="L505" s="4"/>
      <c r="M505" s="4"/>
      <c r="N505" s="4"/>
      <c r="O505" s="4"/>
      <c r="P505" s="4"/>
      <c r="Q505" s="4"/>
      <c r="R505" s="4"/>
      <c r="S505" s="4"/>
      <c r="T505" s="4"/>
      <c r="U505" s="4"/>
    </row>
    <row r="506" spans="1:21" x14ac:dyDescent="0.25">
      <c r="A506" s="4"/>
      <c r="B506" s="4"/>
      <c r="C506" s="4"/>
      <c r="D506" s="4"/>
      <c r="E506" s="4"/>
      <c r="F506" s="4"/>
      <c r="G506" s="4"/>
      <c r="H506" s="4"/>
      <c r="I506" s="4"/>
      <c r="J506" s="4"/>
      <c r="K506" s="4"/>
      <c r="L506" s="4"/>
      <c r="M506" s="4"/>
      <c r="N506" s="4"/>
      <c r="O506" s="4"/>
      <c r="P506" s="4"/>
      <c r="Q506" s="4"/>
      <c r="R506" s="4"/>
      <c r="S506" s="4"/>
      <c r="T506" s="4"/>
      <c r="U506" s="4"/>
    </row>
    <row r="507" spans="1:21" x14ac:dyDescent="0.25">
      <c r="A507" s="4"/>
      <c r="B507" s="4"/>
      <c r="C507" s="4"/>
      <c r="D507" s="4"/>
      <c r="E507" s="4"/>
      <c r="F507" s="4"/>
      <c r="G507" s="4"/>
      <c r="H507" s="4"/>
      <c r="I507" s="4"/>
      <c r="J507" s="4"/>
      <c r="K507" s="4"/>
      <c r="L507" s="4"/>
      <c r="M507" s="4"/>
      <c r="N507" s="4"/>
      <c r="O507" s="4"/>
      <c r="P507" s="4"/>
      <c r="Q507" s="4"/>
      <c r="R507" s="4"/>
      <c r="S507" s="4"/>
      <c r="T507" s="4"/>
      <c r="U507" s="4"/>
    </row>
    <row r="508" spans="1:21" x14ac:dyDescent="0.25">
      <c r="A508" s="4"/>
      <c r="B508" s="4"/>
      <c r="C508" s="4"/>
      <c r="D508" s="4"/>
      <c r="E508" s="4"/>
      <c r="F508" s="4"/>
      <c r="G508" s="4"/>
      <c r="H508" s="4"/>
      <c r="I508" s="4"/>
      <c r="J508" s="4"/>
      <c r="K508" s="4"/>
      <c r="L508" s="4"/>
      <c r="M508" s="4"/>
      <c r="N508" s="4"/>
      <c r="O508" s="4"/>
      <c r="P508" s="4"/>
      <c r="Q508" s="4"/>
      <c r="R508" s="4"/>
      <c r="S508" s="4"/>
      <c r="T508" s="4"/>
      <c r="U508" s="4"/>
    </row>
    <row r="509" spans="1:21" x14ac:dyDescent="0.25">
      <c r="A509" s="4"/>
      <c r="B509" s="4"/>
      <c r="C509" s="4"/>
      <c r="D509" s="4"/>
      <c r="E509" s="4"/>
      <c r="F509" s="4"/>
      <c r="G509" s="4"/>
      <c r="H509" s="4"/>
      <c r="I509" s="4"/>
      <c r="J509" s="4"/>
      <c r="K509" s="4"/>
      <c r="L509" s="4"/>
      <c r="M509" s="4"/>
      <c r="N509" s="4"/>
      <c r="O509" s="4"/>
      <c r="P509" s="4"/>
      <c r="Q509" s="4"/>
      <c r="R509" s="4"/>
      <c r="S509" s="4"/>
      <c r="T509" s="4"/>
      <c r="U509" s="4"/>
    </row>
    <row r="510" spans="1:21" x14ac:dyDescent="0.25">
      <c r="A510" s="4"/>
      <c r="B510" s="4"/>
      <c r="C510" s="4"/>
      <c r="D510" s="4"/>
      <c r="E510" s="4"/>
      <c r="F510" s="4"/>
      <c r="G510" s="4"/>
      <c r="H510" s="4"/>
      <c r="I510" s="4"/>
      <c r="J510" s="4"/>
      <c r="K510" s="4"/>
      <c r="L510" s="4"/>
      <c r="M510" s="4"/>
      <c r="N510" s="4"/>
      <c r="O510" s="4"/>
      <c r="P510" s="4"/>
      <c r="Q510" s="4"/>
      <c r="R510" s="4"/>
      <c r="S510" s="4"/>
      <c r="T510" s="4"/>
      <c r="U510" s="4"/>
    </row>
    <row r="511" spans="1:21" x14ac:dyDescent="0.25">
      <c r="A511" s="4"/>
      <c r="B511" s="4"/>
      <c r="C511" s="4"/>
      <c r="D511" s="4"/>
      <c r="E511" s="4"/>
      <c r="F511" s="4"/>
      <c r="G511" s="4"/>
      <c r="H511" s="4"/>
      <c r="I511" s="4"/>
      <c r="J511" s="4"/>
      <c r="K511" s="4"/>
      <c r="L511" s="4"/>
      <c r="M511" s="4"/>
      <c r="N511" s="4"/>
      <c r="O511" s="4"/>
      <c r="P511" s="4"/>
      <c r="Q511" s="4"/>
      <c r="R511" s="4"/>
      <c r="S511" s="4"/>
      <c r="T511" s="4"/>
      <c r="U511" s="4"/>
    </row>
    <row r="512" spans="1:21" x14ac:dyDescent="0.25">
      <c r="A512" s="4"/>
      <c r="B512" s="4"/>
      <c r="C512" s="4"/>
      <c r="D512" s="4"/>
      <c r="E512" s="4"/>
      <c r="F512" s="4"/>
      <c r="G512" s="4"/>
      <c r="H512" s="4"/>
      <c r="I512" s="4"/>
      <c r="J512" s="4"/>
      <c r="K512" s="4"/>
      <c r="L512" s="4"/>
      <c r="M512" s="4"/>
      <c r="N512" s="4"/>
      <c r="O512" s="4"/>
      <c r="P512" s="4"/>
      <c r="Q512" s="4"/>
      <c r="R512" s="4"/>
      <c r="S512" s="4"/>
      <c r="T512" s="4"/>
      <c r="U512" s="4"/>
    </row>
    <row r="513" spans="1:21" x14ac:dyDescent="0.25">
      <c r="A513" s="4"/>
      <c r="B513" s="4"/>
      <c r="C513" s="4"/>
      <c r="D513" s="4"/>
      <c r="E513" s="4"/>
      <c r="F513" s="4"/>
      <c r="G513" s="4"/>
      <c r="H513" s="4"/>
      <c r="I513" s="4"/>
      <c r="J513" s="4"/>
      <c r="K513" s="4"/>
      <c r="L513" s="4"/>
      <c r="M513" s="4"/>
      <c r="N513" s="4"/>
      <c r="O513" s="4"/>
      <c r="P513" s="4"/>
      <c r="Q513" s="4"/>
      <c r="R513" s="4"/>
      <c r="S513" s="4"/>
      <c r="T513" s="4"/>
      <c r="U513" s="4"/>
    </row>
    <row r="514" spans="1:21" x14ac:dyDescent="0.25">
      <c r="A514" s="4"/>
      <c r="B514" s="4"/>
      <c r="C514" s="4"/>
      <c r="D514" s="4"/>
      <c r="E514" s="4"/>
      <c r="F514" s="4"/>
      <c r="G514" s="4"/>
      <c r="H514" s="4"/>
      <c r="I514" s="4"/>
      <c r="J514" s="4"/>
      <c r="K514" s="4"/>
      <c r="L514" s="4"/>
      <c r="M514" s="4"/>
      <c r="N514" s="4"/>
      <c r="O514" s="4"/>
      <c r="P514" s="4"/>
      <c r="Q514" s="4"/>
      <c r="R514" s="4"/>
      <c r="S514" s="4"/>
      <c r="T514" s="4"/>
      <c r="U514" s="4"/>
    </row>
    <row r="515" spans="1:21" x14ac:dyDescent="0.25">
      <c r="A515" s="4"/>
      <c r="B515" s="4"/>
      <c r="C515" s="4"/>
      <c r="D515" s="4"/>
      <c r="E515" s="4"/>
      <c r="F515" s="4"/>
      <c r="G515" s="4"/>
      <c r="H515" s="4"/>
      <c r="I515" s="4"/>
      <c r="J515" s="4"/>
      <c r="K515" s="4"/>
      <c r="L515" s="4"/>
      <c r="M515" s="4"/>
      <c r="N515" s="4"/>
      <c r="O515" s="4"/>
      <c r="P515" s="4"/>
      <c r="Q515" s="4"/>
      <c r="R515" s="4"/>
      <c r="S515" s="4"/>
      <c r="T515" s="4"/>
      <c r="U515" s="4"/>
    </row>
    <row r="516" spans="1:21" x14ac:dyDescent="0.25">
      <c r="A516" s="4"/>
      <c r="B516" s="4"/>
      <c r="C516" s="4"/>
      <c r="D516" s="4"/>
      <c r="E516" s="4"/>
      <c r="F516" s="4"/>
      <c r="G516" s="4"/>
      <c r="H516" s="4"/>
      <c r="I516" s="4"/>
      <c r="J516" s="4"/>
      <c r="K516" s="4"/>
      <c r="L516" s="4"/>
      <c r="M516" s="4"/>
      <c r="N516" s="4"/>
      <c r="O516" s="4"/>
      <c r="P516" s="4"/>
      <c r="Q516" s="4"/>
      <c r="R516" s="4"/>
      <c r="S516" s="4"/>
      <c r="T516" s="4"/>
      <c r="U516" s="4"/>
    </row>
    <row r="517" spans="1:21" x14ac:dyDescent="0.25">
      <c r="A517" s="4"/>
      <c r="B517" s="4"/>
      <c r="C517" s="4"/>
      <c r="D517" s="4"/>
      <c r="E517" s="4"/>
      <c r="F517" s="4"/>
      <c r="G517" s="4"/>
      <c r="H517" s="4"/>
      <c r="I517" s="4"/>
      <c r="J517" s="4"/>
      <c r="K517" s="4"/>
      <c r="L517" s="4"/>
      <c r="M517" s="4"/>
      <c r="N517" s="4"/>
      <c r="O517" s="4"/>
      <c r="P517" s="4"/>
      <c r="Q517" s="4"/>
      <c r="R517" s="4"/>
      <c r="S517" s="4"/>
      <c r="T517" s="4"/>
      <c r="U517" s="4"/>
    </row>
    <row r="518" spans="1:21" x14ac:dyDescent="0.25">
      <c r="A518" s="4"/>
      <c r="B518" s="4"/>
      <c r="C518" s="4"/>
      <c r="D518" s="4"/>
      <c r="E518" s="4"/>
      <c r="F518" s="4"/>
      <c r="G518" s="4"/>
      <c r="H518" s="4"/>
      <c r="I518" s="4"/>
      <c r="J518" s="4"/>
      <c r="K518" s="4"/>
      <c r="L518" s="4"/>
      <c r="M518" s="4"/>
      <c r="N518" s="4"/>
      <c r="O518" s="4"/>
      <c r="P518" s="4"/>
      <c r="Q518" s="4"/>
      <c r="R518" s="4"/>
      <c r="S518" s="4"/>
      <c r="T518" s="4"/>
      <c r="U518" s="4"/>
    </row>
    <row r="519" spans="1:21" x14ac:dyDescent="0.25">
      <c r="A519" s="4"/>
      <c r="B519" s="4"/>
      <c r="C519" s="4"/>
      <c r="D519" s="4"/>
      <c r="E519" s="4"/>
      <c r="F519" s="4"/>
      <c r="G519" s="4"/>
      <c r="H519" s="4"/>
      <c r="I519" s="4"/>
      <c r="J519" s="4"/>
      <c r="K519" s="4"/>
      <c r="L519" s="4"/>
      <c r="M519" s="4"/>
      <c r="N519" s="4"/>
      <c r="O519" s="4"/>
      <c r="P519" s="4"/>
      <c r="Q519" s="4"/>
      <c r="R519" s="4"/>
      <c r="S519" s="4"/>
      <c r="T519" s="4"/>
      <c r="U519" s="4"/>
    </row>
    <row r="520" spans="1:21" x14ac:dyDescent="0.25">
      <c r="A520" s="4"/>
      <c r="B520" s="4"/>
      <c r="C520" s="4"/>
      <c r="D520" s="4"/>
      <c r="E520" s="4"/>
      <c r="F520" s="4"/>
      <c r="G520" s="4"/>
      <c r="H520" s="4"/>
      <c r="I520" s="4"/>
      <c r="J520" s="4"/>
      <c r="K520" s="4"/>
      <c r="L520" s="4"/>
      <c r="M520" s="4"/>
      <c r="N520" s="4"/>
      <c r="O520" s="4"/>
      <c r="P520" s="4"/>
      <c r="Q520" s="4"/>
      <c r="R520" s="4"/>
      <c r="S520" s="4"/>
      <c r="T520" s="4"/>
      <c r="U520" s="4"/>
    </row>
    <row r="521" spans="1:21" x14ac:dyDescent="0.25">
      <c r="A521" s="4"/>
      <c r="B521" s="4"/>
      <c r="C521" s="4"/>
      <c r="D521" s="4"/>
      <c r="E521" s="4"/>
      <c r="F521" s="4"/>
      <c r="G521" s="4"/>
      <c r="H521" s="4"/>
      <c r="I521" s="4"/>
      <c r="J521" s="4"/>
      <c r="K521" s="4"/>
      <c r="L521" s="4"/>
      <c r="M521" s="4"/>
      <c r="N521" s="4"/>
      <c r="O521" s="4"/>
      <c r="P521" s="4"/>
      <c r="Q521" s="4"/>
      <c r="R521" s="4"/>
      <c r="S521" s="4"/>
      <c r="T521" s="4"/>
      <c r="U521" s="4"/>
    </row>
    <row r="522" spans="1:21" x14ac:dyDescent="0.25">
      <c r="A522" s="4"/>
      <c r="B522" s="4"/>
      <c r="C522" s="4"/>
      <c r="D522" s="4"/>
      <c r="E522" s="4"/>
      <c r="F522" s="4"/>
      <c r="G522" s="4"/>
      <c r="H522" s="4"/>
      <c r="I522" s="4"/>
      <c r="J522" s="4"/>
      <c r="K522" s="4"/>
      <c r="L522" s="4"/>
      <c r="M522" s="4"/>
      <c r="N522" s="4"/>
      <c r="O522" s="4"/>
      <c r="P522" s="4"/>
      <c r="Q522" s="4"/>
      <c r="R522" s="4"/>
      <c r="S522" s="4"/>
      <c r="T522" s="4"/>
      <c r="U522" s="4"/>
    </row>
    <row r="523" spans="1:21" x14ac:dyDescent="0.25">
      <c r="A523" s="4"/>
      <c r="B523" s="4"/>
      <c r="C523" s="4"/>
      <c r="D523" s="4"/>
      <c r="E523" s="4"/>
      <c r="F523" s="4"/>
      <c r="G523" s="4"/>
      <c r="H523" s="4"/>
      <c r="I523" s="4"/>
      <c r="J523" s="4"/>
      <c r="K523" s="4"/>
      <c r="L523" s="4"/>
      <c r="M523" s="4"/>
      <c r="N523" s="4"/>
      <c r="O523" s="4"/>
      <c r="P523" s="4"/>
      <c r="Q523" s="4"/>
      <c r="R523" s="4"/>
      <c r="S523" s="4"/>
      <c r="T523" s="4"/>
      <c r="U523" s="4"/>
    </row>
    <row r="524" spans="1:21" x14ac:dyDescent="0.25">
      <c r="A524" s="4"/>
      <c r="B524" s="4"/>
      <c r="C524" s="4"/>
      <c r="D524" s="4"/>
      <c r="E524" s="4"/>
      <c r="F524" s="4"/>
      <c r="G524" s="4"/>
      <c r="H524" s="4"/>
      <c r="I524" s="4"/>
      <c r="J524" s="4"/>
      <c r="K524" s="4"/>
      <c r="L524" s="4"/>
      <c r="M524" s="4"/>
      <c r="N524" s="4"/>
      <c r="O524" s="4"/>
      <c r="P524" s="4"/>
      <c r="Q524" s="4"/>
      <c r="R524" s="4"/>
      <c r="S524" s="4"/>
      <c r="T524" s="4"/>
      <c r="U524" s="4"/>
    </row>
    <row r="525" spans="1:21" x14ac:dyDescent="0.25">
      <c r="A525" s="4"/>
      <c r="B525" s="4"/>
      <c r="C525" s="4"/>
      <c r="D525" s="4"/>
      <c r="E525" s="4"/>
      <c r="F525" s="4"/>
      <c r="G525" s="4"/>
      <c r="H525" s="4"/>
      <c r="I525" s="4"/>
      <c r="J525" s="4"/>
      <c r="K525" s="4"/>
      <c r="L525" s="4"/>
      <c r="M525" s="4"/>
      <c r="N525" s="4"/>
      <c r="O525" s="4"/>
      <c r="P525" s="4"/>
      <c r="Q525" s="4"/>
      <c r="R525" s="4"/>
      <c r="S525" s="4"/>
      <c r="T525" s="4"/>
      <c r="U525" s="4"/>
    </row>
    <row r="526" spans="1:21" x14ac:dyDescent="0.25">
      <c r="A526" s="4"/>
      <c r="B526" s="4"/>
      <c r="C526" s="4"/>
      <c r="D526" s="4"/>
      <c r="E526" s="4"/>
      <c r="F526" s="4"/>
      <c r="G526" s="4"/>
      <c r="H526" s="4"/>
      <c r="I526" s="4"/>
      <c r="J526" s="4"/>
      <c r="K526" s="4"/>
      <c r="L526" s="4"/>
      <c r="M526" s="4"/>
      <c r="N526" s="4"/>
      <c r="O526" s="4"/>
      <c r="P526" s="4"/>
      <c r="Q526" s="4"/>
      <c r="R526" s="4"/>
      <c r="S526" s="4"/>
      <c r="T526" s="4"/>
      <c r="U526" s="4"/>
    </row>
    <row r="527" spans="1:21" x14ac:dyDescent="0.25">
      <c r="A527" s="4"/>
      <c r="B527" s="4"/>
      <c r="C527" s="4"/>
      <c r="D527" s="4"/>
      <c r="E527" s="4"/>
      <c r="F527" s="4"/>
      <c r="G527" s="4"/>
      <c r="H527" s="4"/>
      <c r="I527" s="4"/>
      <c r="J527" s="4"/>
      <c r="K527" s="4"/>
      <c r="L527" s="4"/>
      <c r="M527" s="4"/>
      <c r="N527" s="4"/>
      <c r="O527" s="4"/>
      <c r="P527" s="4"/>
      <c r="Q527" s="4"/>
      <c r="R527" s="4"/>
      <c r="S527" s="4"/>
      <c r="T527" s="4"/>
      <c r="U527" s="4"/>
    </row>
    <row r="528" spans="1:21" x14ac:dyDescent="0.25">
      <c r="A528" s="4"/>
      <c r="B528" s="4"/>
      <c r="C528" s="4"/>
      <c r="D528" s="4"/>
      <c r="E528" s="4"/>
      <c r="F528" s="4"/>
      <c r="G528" s="4"/>
      <c r="H528" s="4"/>
      <c r="I528" s="4"/>
      <c r="J528" s="4"/>
      <c r="K528" s="4"/>
      <c r="L528" s="4"/>
      <c r="M528" s="4"/>
      <c r="N528" s="4"/>
      <c r="O528" s="4"/>
      <c r="P528" s="4"/>
      <c r="Q528" s="4"/>
      <c r="R528" s="4"/>
      <c r="S528" s="4"/>
      <c r="T528" s="4"/>
      <c r="U528" s="4"/>
    </row>
    <row r="529" spans="1:21" x14ac:dyDescent="0.25">
      <c r="A529" s="4"/>
      <c r="B529" s="4"/>
      <c r="C529" s="4"/>
      <c r="D529" s="4"/>
      <c r="E529" s="4"/>
      <c r="F529" s="4"/>
      <c r="G529" s="4"/>
      <c r="H529" s="4"/>
      <c r="I529" s="4"/>
      <c r="J529" s="4"/>
      <c r="K529" s="4"/>
      <c r="L529" s="4"/>
      <c r="M529" s="4"/>
      <c r="N529" s="4"/>
      <c r="O529" s="4"/>
      <c r="P529" s="4"/>
      <c r="Q529" s="4"/>
      <c r="R529" s="4"/>
      <c r="S529" s="4"/>
      <c r="T529" s="4"/>
      <c r="U529" s="4"/>
    </row>
    <row r="530" spans="1:21" x14ac:dyDescent="0.25">
      <c r="A530" s="4"/>
      <c r="B530" s="4"/>
      <c r="C530" s="4"/>
      <c r="D530" s="4"/>
      <c r="E530" s="4"/>
      <c r="F530" s="4"/>
      <c r="G530" s="4"/>
      <c r="H530" s="4"/>
      <c r="I530" s="4"/>
      <c r="J530" s="4"/>
      <c r="K530" s="4"/>
      <c r="L530" s="4"/>
      <c r="M530" s="4"/>
      <c r="N530" s="4"/>
      <c r="O530" s="4"/>
      <c r="P530" s="4"/>
      <c r="Q530" s="4"/>
      <c r="R530" s="4"/>
      <c r="S530" s="4"/>
      <c r="T530" s="4"/>
      <c r="U530" s="4"/>
    </row>
    <row r="531" spans="1:21" x14ac:dyDescent="0.25">
      <c r="A531" s="4"/>
      <c r="B531" s="4"/>
      <c r="C531" s="4"/>
      <c r="D531" s="4"/>
      <c r="E531" s="4"/>
      <c r="F531" s="4"/>
      <c r="G531" s="4"/>
      <c r="H531" s="4"/>
      <c r="I531" s="4"/>
      <c r="J531" s="4"/>
      <c r="K531" s="4"/>
      <c r="L531" s="4"/>
      <c r="M531" s="4"/>
      <c r="N531" s="4"/>
      <c r="O531" s="4"/>
      <c r="P531" s="4"/>
      <c r="Q531" s="4"/>
      <c r="R531" s="4"/>
      <c r="S531" s="4"/>
      <c r="T531" s="4"/>
      <c r="U531" s="4"/>
    </row>
    <row r="532" spans="1:21" x14ac:dyDescent="0.25">
      <c r="A532" s="4"/>
      <c r="B532" s="4"/>
      <c r="C532" s="4"/>
      <c r="D532" s="4"/>
      <c r="E532" s="4"/>
      <c r="F532" s="4"/>
      <c r="G532" s="4"/>
      <c r="H532" s="4"/>
      <c r="I532" s="4"/>
      <c r="J532" s="4"/>
      <c r="K532" s="4"/>
      <c r="L532" s="4"/>
      <c r="M532" s="4"/>
      <c r="N532" s="4"/>
      <c r="O532" s="4"/>
      <c r="P532" s="4"/>
      <c r="Q532" s="4"/>
      <c r="R532" s="4"/>
      <c r="S532" s="4"/>
      <c r="T532" s="4"/>
      <c r="U532" s="4"/>
    </row>
    <row r="533" spans="1:21" x14ac:dyDescent="0.25">
      <c r="A533" s="4"/>
      <c r="B533" s="4"/>
      <c r="C533" s="4"/>
      <c r="D533" s="4"/>
      <c r="E533" s="4"/>
      <c r="F533" s="4"/>
      <c r="G533" s="4"/>
      <c r="H533" s="4"/>
      <c r="I533" s="4"/>
      <c r="J533" s="4"/>
      <c r="K533" s="4"/>
      <c r="L533" s="4"/>
      <c r="M533" s="4"/>
      <c r="N533" s="4"/>
      <c r="O533" s="4"/>
      <c r="P533" s="4"/>
      <c r="Q533" s="4"/>
      <c r="R533" s="4"/>
      <c r="S533" s="4"/>
      <c r="T533" s="4"/>
      <c r="U533" s="4"/>
    </row>
    <row r="534" spans="1:21" x14ac:dyDescent="0.25">
      <c r="A534" s="4"/>
      <c r="B534" s="4"/>
      <c r="C534" s="4"/>
      <c r="D534" s="4"/>
      <c r="E534" s="4"/>
      <c r="F534" s="4"/>
      <c r="G534" s="4"/>
      <c r="H534" s="4"/>
      <c r="I534" s="4"/>
      <c r="J534" s="4"/>
      <c r="K534" s="4"/>
      <c r="L534" s="4"/>
      <c r="M534" s="4"/>
      <c r="N534" s="4"/>
      <c r="O534" s="4"/>
      <c r="P534" s="4"/>
      <c r="Q534" s="4"/>
      <c r="R534" s="4"/>
      <c r="S534" s="4"/>
      <c r="T534" s="4"/>
      <c r="U534" s="4"/>
    </row>
    <row r="535" spans="1:21" x14ac:dyDescent="0.25">
      <c r="A535" s="4"/>
      <c r="B535" s="4"/>
      <c r="C535" s="4"/>
      <c r="D535" s="4"/>
      <c r="E535" s="4"/>
      <c r="F535" s="4"/>
      <c r="G535" s="4"/>
      <c r="H535" s="4"/>
      <c r="I535" s="4"/>
      <c r="J535" s="4"/>
      <c r="K535" s="4"/>
      <c r="L535" s="4"/>
      <c r="M535" s="4"/>
      <c r="N535" s="4"/>
      <c r="O535" s="4"/>
      <c r="P535" s="4"/>
      <c r="Q535" s="4"/>
      <c r="R535" s="4"/>
      <c r="S535" s="4"/>
      <c r="T535" s="4"/>
      <c r="U535" s="4"/>
    </row>
    <row r="536" spans="1:21" x14ac:dyDescent="0.25">
      <c r="A536" s="4"/>
      <c r="B536" s="4"/>
      <c r="C536" s="4"/>
      <c r="D536" s="4"/>
      <c r="E536" s="4"/>
      <c r="F536" s="4"/>
      <c r="G536" s="4"/>
      <c r="H536" s="4"/>
      <c r="I536" s="4"/>
      <c r="J536" s="4"/>
      <c r="K536" s="4"/>
      <c r="L536" s="4"/>
      <c r="M536" s="4"/>
      <c r="N536" s="4"/>
      <c r="O536" s="4"/>
      <c r="P536" s="4"/>
      <c r="Q536" s="4"/>
      <c r="R536" s="4"/>
      <c r="S536" s="4"/>
      <c r="T536" s="4"/>
      <c r="U536" s="4"/>
    </row>
    <row r="537" spans="1:21" x14ac:dyDescent="0.25">
      <c r="A537" s="4"/>
      <c r="B537" s="4"/>
      <c r="C537" s="4"/>
      <c r="D537" s="4"/>
      <c r="E537" s="4"/>
      <c r="F537" s="4"/>
      <c r="G537" s="4"/>
      <c r="H537" s="4"/>
      <c r="I537" s="4"/>
      <c r="J537" s="4"/>
      <c r="K537" s="4"/>
      <c r="L537" s="4"/>
      <c r="M537" s="4"/>
      <c r="N537" s="4"/>
      <c r="O537" s="4"/>
      <c r="P537" s="4"/>
      <c r="Q537" s="4"/>
      <c r="R537" s="4"/>
      <c r="S537" s="4"/>
      <c r="T537" s="4"/>
      <c r="U537" s="4"/>
    </row>
    <row r="538" spans="1:21" x14ac:dyDescent="0.25">
      <c r="A538" s="4"/>
      <c r="B538" s="4"/>
      <c r="C538" s="4"/>
      <c r="D538" s="4"/>
      <c r="E538" s="4"/>
      <c r="F538" s="4"/>
      <c r="G538" s="4"/>
      <c r="H538" s="4"/>
      <c r="I538" s="4"/>
      <c r="J538" s="4"/>
      <c r="K538" s="4"/>
      <c r="L538" s="4"/>
      <c r="M538" s="4"/>
      <c r="N538" s="4"/>
      <c r="O538" s="4"/>
      <c r="P538" s="4"/>
      <c r="Q538" s="4"/>
      <c r="R538" s="4"/>
      <c r="S538" s="4"/>
      <c r="T538" s="4"/>
      <c r="U538" s="4"/>
    </row>
    <row r="539" spans="1:21" x14ac:dyDescent="0.25">
      <c r="A539" s="4"/>
      <c r="B539" s="4"/>
      <c r="C539" s="4"/>
      <c r="D539" s="4"/>
      <c r="E539" s="4"/>
      <c r="F539" s="4"/>
      <c r="G539" s="4"/>
      <c r="H539" s="4"/>
      <c r="I539" s="4"/>
      <c r="J539" s="4"/>
      <c r="K539" s="4"/>
      <c r="L539" s="4"/>
      <c r="M539" s="4"/>
      <c r="N539" s="4"/>
      <c r="O539" s="4"/>
      <c r="P539" s="4"/>
      <c r="Q539" s="4"/>
      <c r="R539" s="4"/>
      <c r="S539" s="4"/>
      <c r="T539" s="4"/>
      <c r="U539" s="4"/>
    </row>
    <row r="540" spans="1:21" x14ac:dyDescent="0.25">
      <c r="A540" s="4"/>
      <c r="B540" s="4"/>
      <c r="C540" s="4"/>
      <c r="D540" s="4"/>
      <c r="E540" s="4"/>
      <c r="F540" s="4"/>
      <c r="G540" s="4"/>
      <c r="H540" s="4"/>
      <c r="I540" s="4"/>
      <c r="J540" s="4"/>
      <c r="K540" s="4"/>
      <c r="L540" s="4"/>
      <c r="M540" s="4"/>
      <c r="N540" s="4"/>
      <c r="O540" s="4"/>
      <c r="P540" s="4"/>
      <c r="Q540" s="4"/>
      <c r="R540" s="4"/>
      <c r="S540" s="4"/>
      <c r="T540" s="4"/>
      <c r="U540" s="4"/>
    </row>
    <row r="541" spans="1:21" x14ac:dyDescent="0.25">
      <c r="A541" s="4"/>
      <c r="B541" s="4"/>
      <c r="C541" s="4"/>
      <c r="D541" s="4"/>
      <c r="E541" s="4"/>
      <c r="F541" s="4"/>
      <c r="G541" s="4"/>
      <c r="H541" s="4"/>
      <c r="I541" s="4"/>
      <c r="J541" s="4"/>
      <c r="K541" s="4"/>
      <c r="L541" s="4"/>
      <c r="M541" s="4"/>
      <c r="N541" s="4"/>
      <c r="O541" s="4"/>
      <c r="P541" s="4"/>
      <c r="Q541" s="4"/>
      <c r="R541" s="4"/>
      <c r="S541" s="4"/>
      <c r="T541" s="4"/>
      <c r="U541" s="4"/>
    </row>
    <row r="542" spans="1:21" x14ac:dyDescent="0.25">
      <c r="A542" s="4"/>
      <c r="B542" s="4"/>
      <c r="C542" s="4"/>
      <c r="D542" s="4"/>
      <c r="E542" s="4"/>
      <c r="F542" s="4"/>
      <c r="G542" s="4"/>
      <c r="H542" s="4"/>
      <c r="I542" s="4"/>
      <c r="J542" s="4"/>
      <c r="K542" s="4"/>
      <c r="L542" s="4"/>
      <c r="M542" s="4"/>
      <c r="N542" s="4"/>
      <c r="O542" s="4"/>
      <c r="P542" s="4"/>
      <c r="Q542" s="4"/>
      <c r="R542" s="4"/>
      <c r="S542" s="4"/>
      <c r="T542" s="4"/>
      <c r="U542" s="4"/>
    </row>
    <row r="543" spans="1:21" x14ac:dyDescent="0.25">
      <c r="A543" s="4"/>
      <c r="B543" s="4"/>
      <c r="C543" s="4"/>
      <c r="D543" s="4"/>
      <c r="E543" s="4"/>
      <c r="F543" s="4"/>
      <c r="G543" s="4"/>
      <c r="H543" s="4"/>
      <c r="I543" s="4"/>
      <c r="J543" s="4"/>
      <c r="K543" s="4"/>
      <c r="L543" s="4"/>
      <c r="M543" s="4"/>
      <c r="N543" s="4"/>
      <c r="O543" s="4"/>
      <c r="P543" s="4"/>
      <c r="Q543" s="4"/>
      <c r="R543" s="4"/>
      <c r="S543" s="4"/>
      <c r="T543" s="4"/>
      <c r="U543" s="4"/>
    </row>
    <row r="544" spans="1:21" x14ac:dyDescent="0.25">
      <c r="A544" s="4"/>
      <c r="B544" s="4"/>
      <c r="C544" s="4"/>
      <c r="D544" s="4"/>
      <c r="E544" s="4"/>
      <c r="F544" s="4"/>
      <c r="G544" s="4"/>
      <c r="H544" s="4"/>
      <c r="I544" s="4"/>
      <c r="J544" s="4"/>
      <c r="K544" s="4"/>
      <c r="L544" s="4"/>
      <c r="M544" s="4"/>
      <c r="N544" s="4"/>
      <c r="O544" s="4"/>
      <c r="P544" s="4"/>
      <c r="Q544" s="4"/>
      <c r="R544" s="4"/>
      <c r="S544" s="4"/>
      <c r="T544" s="4"/>
      <c r="U544" s="4"/>
    </row>
    <row r="545" spans="1:21" x14ac:dyDescent="0.25">
      <c r="A545" s="4"/>
      <c r="B545" s="4"/>
      <c r="C545" s="4"/>
      <c r="D545" s="4"/>
      <c r="E545" s="4"/>
      <c r="F545" s="4"/>
      <c r="G545" s="4"/>
      <c r="H545" s="4"/>
      <c r="I545" s="4"/>
      <c r="J545" s="4"/>
      <c r="K545" s="4"/>
      <c r="L545" s="4"/>
      <c r="M545" s="4"/>
      <c r="N545" s="4"/>
      <c r="O545" s="4"/>
      <c r="P545" s="4"/>
      <c r="Q545" s="4"/>
      <c r="R545" s="4"/>
      <c r="S545" s="4"/>
      <c r="T545" s="4"/>
      <c r="U545" s="4"/>
    </row>
    <row r="546" spans="1:21" x14ac:dyDescent="0.25">
      <c r="A546" s="4"/>
      <c r="B546" s="4"/>
      <c r="C546" s="4"/>
      <c r="D546" s="4"/>
      <c r="E546" s="4"/>
      <c r="F546" s="4"/>
      <c r="G546" s="4"/>
      <c r="H546" s="4"/>
      <c r="I546" s="4"/>
      <c r="J546" s="4"/>
      <c r="K546" s="4"/>
      <c r="L546" s="4"/>
      <c r="M546" s="4"/>
      <c r="N546" s="4"/>
      <c r="O546" s="4"/>
      <c r="P546" s="4"/>
      <c r="Q546" s="4"/>
      <c r="R546" s="4"/>
      <c r="S546" s="4"/>
      <c r="T546" s="4"/>
      <c r="U546" s="4"/>
    </row>
    <row r="547" spans="1:21" x14ac:dyDescent="0.25">
      <c r="A547" s="4"/>
      <c r="B547" s="4"/>
      <c r="C547" s="4"/>
      <c r="D547" s="4"/>
      <c r="E547" s="4"/>
      <c r="F547" s="4"/>
      <c r="G547" s="4"/>
      <c r="H547" s="4"/>
      <c r="I547" s="4"/>
      <c r="J547" s="4"/>
      <c r="K547" s="4"/>
      <c r="L547" s="4"/>
      <c r="M547" s="4"/>
      <c r="N547" s="4"/>
      <c r="O547" s="4"/>
      <c r="P547" s="4"/>
      <c r="Q547" s="4"/>
      <c r="R547" s="4"/>
      <c r="S547" s="4"/>
      <c r="T547" s="4"/>
      <c r="U547" s="4"/>
    </row>
    <row r="548" spans="1:21" x14ac:dyDescent="0.25">
      <c r="A548" s="4"/>
      <c r="B548" s="4"/>
      <c r="C548" s="4"/>
      <c r="D548" s="4"/>
      <c r="E548" s="4"/>
      <c r="F548" s="4"/>
      <c r="G548" s="4"/>
      <c r="H548" s="4"/>
      <c r="I548" s="4"/>
      <c r="J548" s="4"/>
      <c r="K548" s="4"/>
      <c r="L548" s="4"/>
      <c r="M548" s="4"/>
      <c r="N548" s="4"/>
      <c r="O548" s="4"/>
      <c r="P548" s="4"/>
      <c r="Q548" s="4"/>
      <c r="R548" s="4"/>
      <c r="S548" s="4"/>
      <c r="T548" s="4"/>
      <c r="U548" s="4"/>
    </row>
    <row r="549" spans="1:21" x14ac:dyDescent="0.25">
      <c r="A549" s="4"/>
      <c r="B549" s="4"/>
      <c r="C549" s="4"/>
      <c r="D549" s="4"/>
      <c r="E549" s="4"/>
      <c r="F549" s="4"/>
      <c r="G549" s="4"/>
      <c r="H549" s="4"/>
      <c r="I549" s="4"/>
      <c r="J549" s="4"/>
      <c r="K549" s="4"/>
      <c r="L549" s="4"/>
      <c r="M549" s="4"/>
      <c r="N549" s="4"/>
      <c r="O549" s="4"/>
      <c r="P549" s="4"/>
      <c r="Q549" s="4"/>
      <c r="R549" s="4"/>
      <c r="S549" s="4"/>
      <c r="T549" s="4"/>
      <c r="U549" s="4"/>
    </row>
    <row r="550" spans="1:21" x14ac:dyDescent="0.25">
      <c r="A550" s="4"/>
      <c r="B550" s="4"/>
      <c r="C550" s="4"/>
      <c r="D550" s="4"/>
      <c r="E550" s="4"/>
      <c r="F550" s="4"/>
      <c r="G550" s="4"/>
      <c r="H550" s="4"/>
      <c r="I550" s="4"/>
      <c r="J550" s="4"/>
      <c r="K550" s="4"/>
      <c r="L550" s="4"/>
      <c r="M550" s="4"/>
      <c r="N550" s="4"/>
      <c r="O550" s="4"/>
      <c r="P550" s="4"/>
      <c r="Q550" s="4"/>
      <c r="R550" s="4"/>
      <c r="S550" s="4"/>
      <c r="T550" s="4"/>
      <c r="U550" s="4"/>
    </row>
    <row r="551" spans="1:21" x14ac:dyDescent="0.25">
      <c r="A551" s="4"/>
      <c r="B551" s="4"/>
      <c r="C551" s="4"/>
      <c r="D551" s="4"/>
      <c r="E551" s="4"/>
      <c r="F551" s="4"/>
      <c r="G551" s="4"/>
      <c r="H551" s="4"/>
      <c r="I551" s="4"/>
      <c r="J551" s="4"/>
      <c r="K551" s="4"/>
      <c r="L551" s="4"/>
      <c r="M551" s="4"/>
      <c r="N551" s="4"/>
      <c r="O551" s="4"/>
      <c r="P551" s="4"/>
      <c r="Q551" s="4"/>
      <c r="R551" s="4"/>
      <c r="S551" s="4"/>
      <c r="T551" s="4"/>
      <c r="U551" s="4"/>
    </row>
    <row r="552" spans="1:21" x14ac:dyDescent="0.25">
      <c r="A552" s="4"/>
      <c r="B552" s="4"/>
      <c r="C552" s="4"/>
      <c r="D552" s="4"/>
      <c r="E552" s="4"/>
      <c r="F552" s="4"/>
      <c r="G552" s="4"/>
      <c r="H552" s="4"/>
      <c r="I552" s="4"/>
      <c r="J552" s="4"/>
      <c r="K552" s="4"/>
      <c r="L552" s="4"/>
      <c r="M552" s="4"/>
      <c r="N552" s="4"/>
      <c r="O552" s="4"/>
      <c r="P552" s="4"/>
      <c r="Q552" s="4"/>
      <c r="R552" s="4"/>
      <c r="S552" s="4"/>
      <c r="T552" s="4"/>
      <c r="U552" s="4"/>
    </row>
    <row r="553" spans="1:21" x14ac:dyDescent="0.25">
      <c r="A553" s="4"/>
      <c r="B553" s="4"/>
      <c r="C553" s="4"/>
      <c r="D553" s="4"/>
      <c r="E553" s="4"/>
      <c r="F553" s="4"/>
      <c r="G553" s="4"/>
      <c r="H553" s="4"/>
      <c r="I553" s="4"/>
      <c r="J553" s="4"/>
      <c r="K553" s="4"/>
      <c r="L553" s="4"/>
      <c r="M553" s="4"/>
      <c r="N553" s="4"/>
      <c r="O553" s="4"/>
      <c r="P553" s="4"/>
      <c r="Q553" s="4"/>
      <c r="R553" s="4"/>
      <c r="S553" s="4"/>
      <c r="T553" s="4"/>
      <c r="U553" s="4"/>
    </row>
    <row r="554" spans="1:21" x14ac:dyDescent="0.25">
      <c r="A554" s="4"/>
      <c r="B554" s="4"/>
      <c r="C554" s="4"/>
      <c r="D554" s="4"/>
      <c r="E554" s="4"/>
      <c r="F554" s="4"/>
      <c r="G554" s="4"/>
      <c r="H554" s="4"/>
      <c r="I554" s="4"/>
      <c r="J554" s="4"/>
      <c r="K554" s="4"/>
      <c r="L554" s="4"/>
      <c r="M554" s="4"/>
      <c r="N554" s="4"/>
      <c r="O554" s="4"/>
      <c r="P554" s="4"/>
      <c r="Q554" s="4"/>
      <c r="R554" s="4"/>
      <c r="S554" s="4"/>
      <c r="T554" s="4"/>
      <c r="U554" s="4"/>
    </row>
    <row r="555" spans="1:21" x14ac:dyDescent="0.25">
      <c r="A555" s="4"/>
      <c r="B555" s="4"/>
      <c r="C555" s="4"/>
      <c r="D555" s="4"/>
      <c r="E555" s="4"/>
      <c r="F555" s="4"/>
      <c r="G555" s="4"/>
      <c r="H555" s="4"/>
      <c r="I555" s="4"/>
      <c r="J555" s="4"/>
      <c r="K555" s="4"/>
      <c r="L555" s="4"/>
      <c r="M555" s="4"/>
      <c r="N555" s="4"/>
      <c r="O555" s="4"/>
      <c r="P555" s="4"/>
      <c r="Q555" s="4"/>
      <c r="R555" s="4"/>
      <c r="S555" s="4"/>
      <c r="T555" s="4"/>
      <c r="U555" s="4"/>
    </row>
    <row r="556" spans="1:21" x14ac:dyDescent="0.25">
      <c r="A556" s="4"/>
      <c r="B556" s="4"/>
      <c r="C556" s="4"/>
      <c r="D556" s="4"/>
      <c r="E556" s="4"/>
      <c r="F556" s="4"/>
      <c r="G556" s="4"/>
      <c r="H556" s="4"/>
      <c r="I556" s="4"/>
      <c r="J556" s="4"/>
      <c r="K556" s="4"/>
      <c r="L556" s="4"/>
      <c r="M556" s="4"/>
      <c r="N556" s="4"/>
      <c r="O556" s="4"/>
      <c r="P556" s="4"/>
      <c r="Q556" s="4"/>
      <c r="R556" s="4"/>
      <c r="S556" s="4"/>
      <c r="T556" s="4"/>
      <c r="U556" s="4"/>
    </row>
    <row r="557" spans="1:21" x14ac:dyDescent="0.25">
      <c r="A557" s="4"/>
      <c r="B557" s="4"/>
      <c r="C557" s="4"/>
      <c r="D557" s="4"/>
      <c r="E557" s="4"/>
      <c r="F557" s="4"/>
      <c r="G557" s="4"/>
      <c r="H557" s="4"/>
      <c r="I557" s="4"/>
      <c r="J557" s="4"/>
      <c r="K557" s="4"/>
      <c r="L557" s="4"/>
      <c r="M557" s="4"/>
      <c r="N557" s="4"/>
      <c r="O557" s="4"/>
      <c r="P557" s="4"/>
      <c r="Q557" s="4"/>
      <c r="R557" s="4"/>
      <c r="S557" s="4"/>
      <c r="T557" s="4"/>
      <c r="U557" s="4"/>
    </row>
    <row r="558" spans="1:21" x14ac:dyDescent="0.25">
      <c r="A558" s="4"/>
      <c r="B558" s="4"/>
      <c r="C558" s="4"/>
      <c r="D558" s="4"/>
      <c r="E558" s="4"/>
      <c r="F558" s="4"/>
      <c r="G558" s="4"/>
      <c r="H558" s="4"/>
      <c r="I558" s="4"/>
      <c r="J558" s="4"/>
      <c r="K558" s="4"/>
      <c r="L558" s="4"/>
      <c r="M558" s="4"/>
      <c r="N558" s="4"/>
      <c r="O558" s="4"/>
      <c r="P558" s="4"/>
      <c r="Q558" s="4"/>
      <c r="R558" s="4"/>
      <c r="S558" s="4"/>
      <c r="T558" s="4"/>
      <c r="U558" s="4"/>
    </row>
    <row r="559" spans="1:21" x14ac:dyDescent="0.25">
      <c r="A559" s="4"/>
      <c r="B559" s="4"/>
      <c r="C559" s="4"/>
      <c r="D559" s="4"/>
      <c r="E559" s="4"/>
      <c r="F559" s="4"/>
      <c r="G559" s="4"/>
      <c r="H559" s="4"/>
      <c r="I559" s="4"/>
      <c r="J559" s="4"/>
      <c r="K559" s="4"/>
      <c r="L559" s="4"/>
      <c r="M559" s="4"/>
      <c r="N559" s="4"/>
      <c r="O559" s="4"/>
      <c r="P559" s="4"/>
      <c r="Q559" s="4"/>
      <c r="R559" s="4"/>
      <c r="S559" s="4"/>
      <c r="T559" s="4"/>
      <c r="U559" s="4"/>
    </row>
    <row r="560" spans="1:21" x14ac:dyDescent="0.25">
      <c r="A560" s="4"/>
      <c r="B560" s="4"/>
      <c r="C560" s="4"/>
      <c r="D560" s="4"/>
      <c r="E560" s="4"/>
      <c r="F560" s="4"/>
      <c r="G560" s="4"/>
      <c r="H560" s="4"/>
      <c r="I560" s="4"/>
      <c r="J560" s="4"/>
      <c r="K560" s="4"/>
      <c r="L560" s="4"/>
      <c r="M560" s="4"/>
      <c r="N560" s="4"/>
      <c r="O560" s="4"/>
      <c r="P560" s="4"/>
      <c r="Q560" s="4"/>
      <c r="R560" s="4"/>
      <c r="S560" s="4"/>
      <c r="T560" s="4"/>
      <c r="U560" s="4"/>
    </row>
    <row r="561" spans="1:21" x14ac:dyDescent="0.25">
      <c r="A561" s="4"/>
      <c r="B561" s="4"/>
      <c r="C561" s="4"/>
      <c r="D561" s="4"/>
      <c r="E561" s="4"/>
      <c r="F561" s="4"/>
      <c r="G561" s="4"/>
      <c r="H561" s="4"/>
      <c r="I561" s="4"/>
      <c r="J561" s="4"/>
      <c r="K561" s="4"/>
      <c r="L561" s="4"/>
      <c r="M561" s="4"/>
      <c r="N561" s="4"/>
      <c r="O561" s="4"/>
      <c r="P561" s="4"/>
      <c r="Q561" s="4"/>
      <c r="R561" s="4"/>
      <c r="S561" s="4"/>
      <c r="T561" s="4"/>
      <c r="U561" s="4"/>
    </row>
    <row r="562" spans="1:21" x14ac:dyDescent="0.25">
      <c r="A562" s="4"/>
      <c r="B562" s="4"/>
      <c r="C562" s="4"/>
      <c r="D562" s="4"/>
      <c r="E562" s="4"/>
      <c r="F562" s="4"/>
      <c r="G562" s="4"/>
      <c r="H562" s="4"/>
      <c r="I562" s="4"/>
      <c r="J562" s="4"/>
      <c r="K562" s="4"/>
      <c r="L562" s="4"/>
      <c r="M562" s="4"/>
      <c r="N562" s="4"/>
      <c r="O562" s="4"/>
      <c r="P562" s="4"/>
      <c r="Q562" s="4"/>
      <c r="R562" s="4"/>
      <c r="S562" s="4"/>
      <c r="T562" s="4"/>
      <c r="U562" s="4"/>
    </row>
    <row r="563" spans="1:21" x14ac:dyDescent="0.25">
      <c r="A563" s="4"/>
      <c r="B563" s="4"/>
      <c r="C563" s="4"/>
      <c r="D563" s="4"/>
      <c r="E563" s="4"/>
      <c r="F563" s="4"/>
      <c r="G563" s="4"/>
      <c r="H563" s="4"/>
      <c r="I563" s="4"/>
      <c r="J563" s="4"/>
      <c r="K563" s="4"/>
      <c r="L563" s="4"/>
      <c r="M563" s="4"/>
      <c r="N563" s="4"/>
      <c r="O563" s="4"/>
      <c r="P563" s="4"/>
      <c r="Q563" s="4"/>
      <c r="R563" s="4"/>
      <c r="S563" s="4"/>
      <c r="T563" s="4"/>
      <c r="U563" s="4"/>
    </row>
    <row r="564" spans="1:21" x14ac:dyDescent="0.25">
      <c r="A564" s="4"/>
      <c r="B564" s="4"/>
      <c r="C564" s="4"/>
      <c r="D564" s="4"/>
      <c r="E564" s="4"/>
      <c r="F564" s="4"/>
      <c r="G564" s="4"/>
      <c r="H564" s="4"/>
      <c r="I564" s="4"/>
      <c r="J564" s="4"/>
      <c r="K564" s="4"/>
      <c r="L564" s="4"/>
      <c r="M564" s="4"/>
      <c r="N564" s="4"/>
      <c r="O564" s="4"/>
      <c r="P564" s="4"/>
      <c r="Q564" s="4"/>
      <c r="R564" s="4"/>
      <c r="S564" s="4"/>
      <c r="T564" s="4"/>
      <c r="U564" s="4"/>
    </row>
    <row r="565" spans="1:21" x14ac:dyDescent="0.25">
      <c r="A565" s="4"/>
      <c r="B565" s="4"/>
      <c r="C565" s="4"/>
      <c r="D565" s="4"/>
      <c r="E565" s="4"/>
      <c r="F565" s="4"/>
      <c r="G565" s="4"/>
      <c r="H565" s="4"/>
      <c r="I565" s="4"/>
      <c r="J565" s="4"/>
      <c r="K565" s="4"/>
      <c r="L565" s="4"/>
      <c r="M565" s="4"/>
      <c r="N565" s="4"/>
      <c r="O565" s="4"/>
      <c r="P565" s="4"/>
      <c r="Q565" s="4"/>
      <c r="R565" s="4"/>
      <c r="S565" s="4"/>
      <c r="T565" s="4"/>
      <c r="U565" s="4"/>
    </row>
    <row r="566" spans="1:21" x14ac:dyDescent="0.25">
      <c r="A566" s="4"/>
      <c r="B566" s="4"/>
      <c r="C566" s="4"/>
      <c r="D566" s="4"/>
      <c r="E566" s="4"/>
      <c r="F566" s="4"/>
      <c r="G566" s="4"/>
      <c r="H566" s="4"/>
      <c r="I566" s="4"/>
      <c r="J566" s="4"/>
      <c r="K566" s="4"/>
      <c r="L566" s="4"/>
      <c r="M566" s="4"/>
      <c r="N566" s="4"/>
      <c r="O566" s="4"/>
      <c r="P566" s="4"/>
      <c r="Q566" s="4"/>
      <c r="R566" s="4"/>
      <c r="S566" s="4"/>
      <c r="T566" s="4"/>
      <c r="U566" s="4"/>
    </row>
    <row r="567" spans="1:21" x14ac:dyDescent="0.25">
      <c r="A567" s="4"/>
      <c r="B567" s="4"/>
      <c r="C567" s="4"/>
      <c r="D567" s="4"/>
      <c r="E567" s="4"/>
      <c r="F567" s="4"/>
      <c r="G567" s="4"/>
      <c r="H567" s="4"/>
      <c r="I567" s="4"/>
      <c r="J567" s="4"/>
      <c r="K567" s="4"/>
      <c r="L567" s="4"/>
      <c r="M567" s="4"/>
      <c r="N567" s="4"/>
      <c r="O567" s="4"/>
      <c r="P567" s="4"/>
      <c r="Q567" s="4"/>
      <c r="R567" s="4"/>
      <c r="S567" s="4"/>
      <c r="T567" s="4"/>
      <c r="U567" s="4"/>
    </row>
    <row r="568" spans="1:21" x14ac:dyDescent="0.25">
      <c r="A568" s="4"/>
      <c r="B568" s="4"/>
      <c r="C568" s="4"/>
      <c r="D568" s="4"/>
      <c r="E568" s="4"/>
      <c r="F568" s="4"/>
      <c r="G568" s="4"/>
      <c r="H568" s="4"/>
      <c r="I568" s="4"/>
      <c r="J568" s="4"/>
      <c r="K568" s="4"/>
      <c r="L568" s="4"/>
      <c r="M568" s="4"/>
      <c r="N568" s="4"/>
      <c r="O568" s="4"/>
      <c r="P568" s="4"/>
      <c r="Q568" s="4"/>
      <c r="R568" s="4"/>
      <c r="S568" s="4"/>
      <c r="T568" s="4"/>
      <c r="U568" s="4"/>
    </row>
    <row r="569" spans="1:21" x14ac:dyDescent="0.25">
      <c r="A569" s="4"/>
      <c r="B569" s="4"/>
      <c r="C569" s="4"/>
      <c r="D569" s="4"/>
      <c r="E569" s="4"/>
      <c r="F569" s="4"/>
      <c r="G569" s="4"/>
      <c r="H569" s="4"/>
      <c r="I569" s="4"/>
      <c r="J569" s="4"/>
      <c r="K569" s="4"/>
      <c r="L569" s="4"/>
      <c r="M569" s="4"/>
      <c r="N569" s="4"/>
      <c r="O569" s="4"/>
      <c r="P569" s="4"/>
      <c r="Q569" s="4"/>
      <c r="R569" s="4"/>
      <c r="S569" s="4"/>
      <c r="T569" s="4"/>
      <c r="U569" s="4"/>
    </row>
    <row r="570" spans="1:21" x14ac:dyDescent="0.25">
      <c r="A570" s="4"/>
      <c r="B570" s="4"/>
      <c r="C570" s="4"/>
      <c r="D570" s="4"/>
      <c r="E570" s="4"/>
      <c r="F570" s="4"/>
      <c r="G570" s="4"/>
      <c r="H570" s="4"/>
      <c r="I570" s="4"/>
      <c r="J570" s="4"/>
      <c r="K570" s="4"/>
      <c r="L570" s="4"/>
      <c r="M570" s="4"/>
      <c r="N570" s="4"/>
      <c r="O570" s="4"/>
      <c r="P570" s="4"/>
      <c r="Q570" s="4"/>
      <c r="R570" s="4"/>
      <c r="S570" s="4"/>
      <c r="T570" s="4"/>
      <c r="U570" s="4"/>
    </row>
    <row r="571" spans="1:21" x14ac:dyDescent="0.25">
      <c r="A571" s="4"/>
      <c r="B571" s="4"/>
      <c r="C571" s="4"/>
      <c r="D571" s="4"/>
      <c r="E571" s="4"/>
      <c r="F571" s="4"/>
      <c r="G571" s="4"/>
      <c r="H571" s="4"/>
      <c r="I571" s="4"/>
      <c r="J571" s="4"/>
      <c r="K571" s="4"/>
      <c r="L571" s="4"/>
      <c r="M571" s="4"/>
      <c r="N571" s="4"/>
      <c r="O571" s="4"/>
      <c r="P571" s="4"/>
      <c r="Q571" s="4"/>
      <c r="R571" s="4"/>
      <c r="S571" s="4"/>
      <c r="T571" s="4"/>
      <c r="U571" s="4"/>
    </row>
    <row r="572" spans="1:21" x14ac:dyDescent="0.25">
      <c r="A572" s="4"/>
      <c r="B572" s="4"/>
      <c r="C572" s="4"/>
      <c r="D572" s="4"/>
      <c r="E572" s="4"/>
      <c r="F572" s="4"/>
      <c r="G572" s="4"/>
      <c r="H572" s="4"/>
      <c r="I572" s="4"/>
      <c r="J572" s="4"/>
      <c r="K572" s="4"/>
      <c r="L572" s="4"/>
      <c r="M572" s="4"/>
      <c r="N572" s="4"/>
      <c r="O572" s="4"/>
      <c r="P572" s="4"/>
      <c r="Q572" s="4"/>
      <c r="R572" s="4"/>
      <c r="S572" s="4"/>
      <c r="T572" s="4"/>
      <c r="U572" s="4"/>
    </row>
    <row r="573" spans="1:21" x14ac:dyDescent="0.25">
      <c r="A573" s="4"/>
      <c r="B573" s="4"/>
      <c r="C573" s="4"/>
      <c r="D573" s="4"/>
      <c r="E573" s="4"/>
      <c r="F573" s="4"/>
      <c r="G573" s="4"/>
      <c r="H573" s="4"/>
      <c r="I573" s="4"/>
      <c r="J573" s="4"/>
      <c r="K573" s="4"/>
      <c r="L573" s="4"/>
      <c r="M573" s="4"/>
      <c r="N573" s="4"/>
      <c r="O573" s="4"/>
      <c r="P573" s="4"/>
      <c r="Q573" s="4"/>
      <c r="R573" s="4"/>
      <c r="S573" s="4"/>
      <c r="T573" s="4"/>
      <c r="U573" s="4"/>
    </row>
    <row r="574" spans="1:21" x14ac:dyDescent="0.25">
      <c r="A574" s="4"/>
      <c r="B574" s="4"/>
      <c r="C574" s="4"/>
      <c r="D574" s="4"/>
      <c r="E574" s="4"/>
      <c r="F574" s="4"/>
      <c r="G574" s="4"/>
      <c r="H574" s="4"/>
      <c r="I574" s="4"/>
      <c r="J574" s="4"/>
      <c r="K574" s="4"/>
      <c r="L574" s="4"/>
      <c r="M574" s="4"/>
      <c r="N574" s="4"/>
      <c r="O574" s="4"/>
      <c r="P574" s="4"/>
      <c r="Q574" s="4"/>
      <c r="R574" s="4"/>
      <c r="S574" s="4"/>
      <c r="T574" s="4"/>
      <c r="U574" s="4"/>
    </row>
    <row r="575" spans="1:21" x14ac:dyDescent="0.25">
      <c r="A575" s="4"/>
      <c r="B575" s="4"/>
      <c r="C575" s="4"/>
      <c r="D575" s="4"/>
      <c r="E575" s="4"/>
      <c r="F575" s="4"/>
      <c r="G575" s="4"/>
      <c r="H575" s="4"/>
      <c r="I575" s="4"/>
      <c r="J575" s="4"/>
      <c r="K575" s="4"/>
      <c r="L575" s="4"/>
      <c r="M575" s="4"/>
      <c r="N575" s="4"/>
      <c r="O575" s="4"/>
      <c r="P575" s="4"/>
      <c r="Q575" s="4"/>
      <c r="R575" s="4"/>
      <c r="S575" s="4"/>
      <c r="T575" s="4"/>
      <c r="U575" s="4"/>
    </row>
    <row r="576" spans="1:21" x14ac:dyDescent="0.25">
      <c r="A576" s="4"/>
      <c r="B576" s="4"/>
      <c r="C576" s="4"/>
      <c r="D576" s="4"/>
      <c r="E576" s="4"/>
      <c r="F576" s="4"/>
      <c r="G576" s="4"/>
      <c r="H576" s="4"/>
      <c r="I576" s="4"/>
      <c r="J576" s="4"/>
      <c r="K576" s="4"/>
      <c r="L576" s="4"/>
      <c r="M576" s="4"/>
      <c r="N576" s="4"/>
      <c r="O576" s="4"/>
      <c r="P576" s="4"/>
      <c r="Q576" s="4"/>
      <c r="R576" s="4"/>
      <c r="S576" s="4"/>
      <c r="T576" s="4"/>
      <c r="U576" s="4"/>
    </row>
    <row r="577" spans="1:21" x14ac:dyDescent="0.25">
      <c r="A577" s="4"/>
      <c r="B577" s="4"/>
      <c r="C577" s="4"/>
      <c r="D577" s="4"/>
      <c r="E577" s="4"/>
      <c r="F577" s="4"/>
      <c r="G577" s="4"/>
      <c r="H577" s="4"/>
      <c r="I577" s="4"/>
      <c r="J577" s="4"/>
      <c r="K577" s="4"/>
      <c r="L577" s="4"/>
      <c r="M577" s="4"/>
      <c r="N577" s="4"/>
      <c r="O577" s="4"/>
      <c r="P577" s="4"/>
      <c r="Q577" s="4"/>
      <c r="R577" s="4"/>
      <c r="S577" s="4"/>
      <c r="T577" s="4"/>
      <c r="U577" s="4"/>
    </row>
    <row r="578" spans="1:21" x14ac:dyDescent="0.25">
      <c r="A578" s="4"/>
      <c r="B578" s="4"/>
      <c r="C578" s="4"/>
      <c r="D578" s="4"/>
      <c r="E578" s="4"/>
      <c r="F578" s="4"/>
      <c r="G578" s="4"/>
      <c r="H578" s="4"/>
      <c r="I578" s="4"/>
      <c r="J578" s="4"/>
      <c r="K578" s="4"/>
      <c r="L578" s="4"/>
      <c r="M578" s="4"/>
      <c r="N578" s="4"/>
      <c r="O578" s="4"/>
      <c r="P578" s="4"/>
      <c r="Q578" s="4"/>
      <c r="R578" s="4"/>
      <c r="S578" s="4"/>
      <c r="T578" s="4"/>
      <c r="U578" s="4"/>
    </row>
    <row r="579" spans="1:21" x14ac:dyDescent="0.25">
      <c r="A579" s="4"/>
      <c r="B579" s="4"/>
      <c r="C579" s="4"/>
      <c r="D579" s="4"/>
      <c r="E579" s="4"/>
      <c r="F579" s="4"/>
      <c r="G579" s="4"/>
      <c r="H579" s="4"/>
      <c r="I579" s="4"/>
      <c r="J579" s="4"/>
      <c r="K579" s="4"/>
      <c r="L579" s="4"/>
      <c r="M579" s="4"/>
      <c r="N579" s="4"/>
      <c r="O579" s="4"/>
      <c r="P579" s="4"/>
      <c r="Q579" s="4"/>
      <c r="R579" s="4"/>
      <c r="S579" s="4"/>
      <c r="T579" s="4"/>
      <c r="U579" s="4"/>
    </row>
    <row r="580" spans="1:21" x14ac:dyDescent="0.25">
      <c r="A580" s="4"/>
      <c r="B580" s="4"/>
      <c r="C580" s="4"/>
      <c r="D580" s="4"/>
      <c r="E580" s="4"/>
      <c r="F580" s="4"/>
      <c r="G580" s="4"/>
      <c r="H580" s="4"/>
      <c r="I580" s="4"/>
      <c r="J580" s="4"/>
      <c r="K580" s="4"/>
      <c r="L580" s="4"/>
      <c r="M580" s="4"/>
      <c r="N580" s="4"/>
      <c r="O580" s="4"/>
      <c r="P580" s="4"/>
      <c r="Q580" s="4"/>
      <c r="R580" s="4"/>
      <c r="S580" s="4"/>
      <c r="T580" s="4"/>
      <c r="U580" s="4"/>
    </row>
    <row r="581" spans="1:21" x14ac:dyDescent="0.25">
      <c r="A581" s="4"/>
      <c r="B581" s="4"/>
      <c r="C581" s="4"/>
      <c r="D581" s="4"/>
      <c r="E581" s="4"/>
      <c r="F581" s="4"/>
      <c r="G581" s="4"/>
      <c r="H581" s="4"/>
      <c r="I581" s="4"/>
      <c r="J581" s="4"/>
      <c r="K581" s="4"/>
      <c r="L581" s="4"/>
      <c r="M581" s="4"/>
      <c r="N581" s="4"/>
      <c r="O581" s="4"/>
      <c r="P581" s="4"/>
      <c r="Q581" s="4"/>
      <c r="R581" s="4"/>
      <c r="S581" s="4"/>
      <c r="T581" s="4"/>
      <c r="U581" s="4"/>
    </row>
    <row r="582" spans="1:21" x14ac:dyDescent="0.25">
      <c r="A582" s="4"/>
      <c r="B582" s="4"/>
      <c r="C582" s="4"/>
      <c r="D582" s="4"/>
      <c r="E582" s="4"/>
      <c r="F582" s="4"/>
      <c r="G582" s="4"/>
      <c r="H582" s="4"/>
      <c r="I582" s="4"/>
      <c r="J582" s="4"/>
      <c r="K582" s="4"/>
      <c r="L582" s="4"/>
      <c r="M582" s="4"/>
      <c r="N582" s="4"/>
      <c r="O582" s="4"/>
      <c r="P582" s="4"/>
      <c r="Q582" s="4"/>
      <c r="R582" s="4"/>
      <c r="S582" s="4"/>
      <c r="T582" s="4"/>
      <c r="U582" s="4"/>
    </row>
    <row r="583" spans="1:21" x14ac:dyDescent="0.25">
      <c r="A583" s="4"/>
      <c r="B583" s="4"/>
      <c r="C583" s="4"/>
      <c r="D583" s="4"/>
      <c r="E583" s="4"/>
      <c r="F583" s="4"/>
      <c r="G583" s="4"/>
      <c r="H583" s="4"/>
      <c r="I583" s="4"/>
      <c r="J583" s="4"/>
      <c r="K583" s="4"/>
      <c r="L583" s="4"/>
      <c r="M583" s="4"/>
      <c r="N583" s="4"/>
      <c r="O583" s="4"/>
      <c r="P583" s="4"/>
      <c r="Q583" s="4"/>
      <c r="R583" s="4"/>
      <c r="S583" s="4"/>
      <c r="T583" s="4"/>
      <c r="U583" s="4"/>
    </row>
    <row r="584" spans="1:21" x14ac:dyDescent="0.25">
      <c r="A584" s="4"/>
      <c r="B584" s="4"/>
      <c r="C584" s="4"/>
      <c r="D584" s="4"/>
      <c r="E584" s="4"/>
      <c r="F584" s="4"/>
      <c r="G584" s="4"/>
      <c r="H584" s="4"/>
      <c r="I584" s="4"/>
      <c r="J584" s="4"/>
      <c r="K584" s="4"/>
      <c r="L584" s="4"/>
      <c r="M584" s="4"/>
      <c r="N584" s="4"/>
      <c r="O584" s="4"/>
      <c r="P584" s="4"/>
      <c r="Q584" s="4"/>
      <c r="R584" s="4"/>
      <c r="S584" s="4"/>
      <c r="T584" s="4"/>
      <c r="U584" s="4"/>
    </row>
    <row r="585" spans="1:21" x14ac:dyDescent="0.25">
      <c r="A585" s="4"/>
      <c r="B585" s="4"/>
      <c r="C585" s="4"/>
      <c r="D585" s="4"/>
      <c r="E585" s="4"/>
      <c r="F585" s="4"/>
      <c r="G585" s="4"/>
      <c r="H585" s="4"/>
      <c r="I585" s="4"/>
      <c r="J585" s="4"/>
      <c r="K585" s="4"/>
      <c r="L585" s="4"/>
      <c r="M585" s="4"/>
      <c r="N585" s="4"/>
      <c r="O585" s="4"/>
      <c r="P585" s="4"/>
      <c r="Q585" s="4"/>
      <c r="R585" s="4"/>
      <c r="S585" s="4"/>
      <c r="T585" s="4"/>
      <c r="U585" s="4"/>
    </row>
    <row r="586" spans="1:21" x14ac:dyDescent="0.25">
      <c r="A586" s="4"/>
      <c r="B586" s="4"/>
      <c r="C586" s="4"/>
      <c r="D586" s="4"/>
      <c r="E586" s="4"/>
      <c r="F586" s="4"/>
      <c r="G586" s="4"/>
      <c r="H586" s="4"/>
      <c r="I586" s="4"/>
      <c r="J586" s="4"/>
      <c r="K586" s="4"/>
      <c r="L586" s="4"/>
      <c r="M586" s="4"/>
      <c r="N586" s="4"/>
      <c r="O586" s="4"/>
      <c r="P586" s="4"/>
      <c r="Q586" s="4"/>
      <c r="R586" s="4"/>
      <c r="S586" s="4"/>
      <c r="T586" s="4"/>
      <c r="U586" s="4"/>
    </row>
    <row r="587" spans="1:21" x14ac:dyDescent="0.25">
      <c r="A587" s="4"/>
      <c r="B587" s="4"/>
      <c r="C587" s="4"/>
      <c r="D587" s="4"/>
      <c r="E587" s="4"/>
      <c r="F587" s="4"/>
      <c r="G587" s="4"/>
      <c r="H587" s="4"/>
      <c r="I587" s="4"/>
      <c r="J587" s="4"/>
      <c r="K587" s="4"/>
      <c r="L587" s="4"/>
      <c r="M587" s="4"/>
      <c r="N587" s="4"/>
      <c r="O587" s="4"/>
      <c r="P587" s="4"/>
      <c r="Q587" s="4"/>
      <c r="R587" s="4"/>
      <c r="S587" s="4"/>
      <c r="T587" s="4"/>
      <c r="U587" s="4"/>
    </row>
    <row r="588" spans="1:21" x14ac:dyDescent="0.25">
      <c r="A588" s="4"/>
      <c r="B588" s="4"/>
      <c r="C588" s="4"/>
      <c r="D588" s="4"/>
      <c r="E588" s="4"/>
      <c r="F588" s="4"/>
      <c r="G588" s="4"/>
      <c r="H588" s="4"/>
      <c r="I588" s="4"/>
      <c r="J588" s="4"/>
      <c r="K588" s="4"/>
      <c r="L588" s="4"/>
      <c r="M588" s="4"/>
      <c r="N588" s="4"/>
      <c r="O588" s="4"/>
      <c r="P588" s="4"/>
      <c r="Q588" s="4"/>
      <c r="R588" s="4"/>
      <c r="S588" s="4"/>
      <c r="T588" s="4"/>
      <c r="U588" s="4"/>
    </row>
    <row r="589" spans="1:21" x14ac:dyDescent="0.25">
      <c r="A589" s="4"/>
      <c r="B589" s="4"/>
      <c r="C589" s="4"/>
      <c r="D589" s="4"/>
      <c r="E589" s="4"/>
      <c r="F589" s="4"/>
      <c r="G589" s="4"/>
      <c r="H589" s="4"/>
      <c r="I589" s="4"/>
      <c r="J589" s="4"/>
      <c r="K589" s="4"/>
      <c r="L589" s="4"/>
      <c r="M589" s="4"/>
      <c r="N589" s="4"/>
      <c r="O589" s="4"/>
      <c r="P589" s="4"/>
      <c r="Q589" s="4"/>
      <c r="R589" s="4"/>
      <c r="S589" s="4"/>
      <c r="T589" s="4"/>
      <c r="U589" s="4"/>
    </row>
    <row r="590" spans="1:21" x14ac:dyDescent="0.25">
      <c r="A590" s="4"/>
      <c r="B590" s="4"/>
      <c r="C590" s="4"/>
      <c r="D590" s="4"/>
      <c r="E590" s="4"/>
      <c r="F590" s="4"/>
      <c r="G590" s="4"/>
      <c r="H590" s="4"/>
      <c r="I590" s="4"/>
      <c r="J590" s="4"/>
      <c r="K590" s="4"/>
      <c r="L590" s="4"/>
      <c r="M590" s="4"/>
      <c r="N590" s="4"/>
      <c r="O590" s="4"/>
      <c r="P590" s="4"/>
      <c r="Q590" s="4"/>
      <c r="R590" s="4"/>
      <c r="S590" s="4"/>
      <c r="T590" s="4"/>
      <c r="U590" s="4"/>
    </row>
    <row r="591" spans="1:21" x14ac:dyDescent="0.25">
      <c r="A591" s="4"/>
      <c r="B591" s="4"/>
      <c r="C591" s="4"/>
      <c r="D591" s="4"/>
      <c r="E591" s="4"/>
      <c r="F591" s="4"/>
      <c r="G591" s="4"/>
      <c r="H591" s="4"/>
      <c r="I591" s="4"/>
      <c r="J591" s="4"/>
      <c r="K591" s="4"/>
      <c r="L591" s="4"/>
      <c r="M591" s="4"/>
      <c r="N591" s="4"/>
      <c r="O591" s="4"/>
      <c r="P591" s="4"/>
      <c r="Q591" s="4"/>
      <c r="R591" s="4"/>
      <c r="S591" s="4"/>
      <c r="T591" s="4"/>
      <c r="U591" s="4"/>
    </row>
    <row r="592" spans="1:21" x14ac:dyDescent="0.25">
      <c r="A592" s="4"/>
      <c r="B592" s="4"/>
      <c r="C592" s="4"/>
      <c r="D592" s="4"/>
      <c r="E592" s="4"/>
      <c r="F592" s="4"/>
      <c r="G592" s="4"/>
      <c r="H592" s="4"/>
      <c r="I592" s="4"/>
      <c r="J592" s="4"/>
      <c r="K592" s="4"/>
      <c r="L592" s="4"/>
      <c r="M592" s="4"/>
      <c r="N592" s="4"/>
      <c r="O592" s="4"/>
      <c r="P592" s="4"/>
      <c r="Q592" s="4"/>
      <c r="R592" s="4"/>
      <c r="S592" s="4"/>
      <c r="T592" s="4"/>
      <c r="U592" s="4"/>
    </row>
    <row r="593" spans="1:21" x14ac:dyDescent="0.25">
      <c r="A593" s="4"/>
      <c r="B593" s="4"/>
      <c r="C593" s="4"/>
      <c r="D593" s="4"/>
      <c r="E593" s="4"/>
      <c r="F593" s="4"/>
      <c r="G593" s="4"/>
      <c r="H593" s="4"/>
      <c r="I593" s="4"/>
      <c r="J593" s="4"/>
      <c r="K593" s="4"/>
      <c r="L593" s="4"/>
      <c r="M593" s="4"/>
      <c r="N593" s="4"/>
      <c r="O593" s="4"/>
      <c r="P593" s="4"/>
      <c r="Q593" s="4"/>
      <c r="R593" s="4"/>
      <c r="S593" s="4"/>
      <c r="T593" s="4"/>
      <c r="U593" s="4"/>
    </row>
    <row r="594" spans="1:21" x14ac:dyDescent="0.25">
      <c r="A594" s="4"/>
      <c r="B594" s="4"/>
      <c r="C594" s="4"/>
      <c r="D594" s="4"/>
      <c r="E594" s="4"/>
      <c r="F594" s="4"/>
      <c r="G594" s="4"/>
      <c r="H594" s="4"/>
      <c r="I594" s="4"/>
      <c r="J594" s="4"/>
      <c r="K594" s="4"/>
      <c r="L594" s="4"/>
      <c r="M594" s="4"/>
      <c r="N594" s="4"/>
      <c r="O594" s="4"/>
      <c r="P594" s="4"/>
      <c r="Q594" s="4"/>
      <c r="R594" s="4"/>
      <c r="S594" s="4"/>
      <c r="T594" s="4"/>
      <c r="U594" s="4"/>
    </row>
    <row r="595" spans="1:21" x14ac:dyDescent="0.25">
      <c r="A595" s="4"/>
      <c r="B595" s="4"/>
      <c r="C595" s="4"/>
      <c r="D595" s="4"/>
      <c r="E595" s="4"/>
      <c r="F595" s="4"/>
      <c r="G595" s="4"/>
      <c r="H595" s="4"/>
      <c r="I595" s="4"/>
      <c r="J595" s="4"/>
      <c r="K595" s="4"/>
      <c r="L595" s="4"/>
      <c r="M595" s="4"/>
      <c r="N595" s="4"/>
      <c r="O595" s="4"/>
      <c r="P595" s="4"/>
      <c r="Q595" s="4"/>
      <c r="R595" s="4"/>
      <c r="S595" s="4"/>
      <c r="T595" s="4"/>
      <c r="U595" s="4"/>
    </row>
    <row r="596" spans="1:21" x14ac:dyDescent="0.25">
      <c r="A596" s="4"/>
      <c r="B596" s="4"/>
      <c r="C596" s="4"/>
      <c r="D596" s="4"/>
      <c r="E596" s="4"/>
      <c r="F596" s="4"/>
      <c r="G596" s="4"/>
      <c r="H596" s="4"/>
      <c r="I596" s="4"/>
      <c r="J596" s="4"/>
      <c r="K596" s="4"/>
      <c r="L596" s="4"/>
      <c r="M596" s="4"/>
      <c r="N596" s="4"/>
      <c r="O596" s="4"/>
      <c r="P596" s="4"/>
      <c r="Q596" s="4"/>
      <c r="R596" s="4"/>
      <c r="S596" s="4"/>
      <c r="T596" s="4"/>
      <c r="U596" s="4"/>
    </row>
    <row r="597" spans="1:21" x14ac:dyDescent="0.25">
      <c r="A597" s="4"/>
      <c r="B597" s="4"/>
      <c r="C597" s="4"/>
      <c r="D597" s="4"/>
      <c r="E597" s="4"/>
      <c r="F597" s="4"/>
      <c r="G597" s="4"/>
      <c r="H597" s="4"/>
      <c r="I597" s="4"/>
      <c r="J597" s="4"/>
      <c r="K597" s="4"/>
      <c r="L597" s="4"/>
      <c r="M597" s="4"/>
      <c r="N597" s="4"/>
      <c r="O597" s="4"/>
      <c r="P597" s="4"/>
      <c r="Q597" s="4"/>
      <c r="R597" s="4"/>
      <c r="S597" s="4"/>
      <c r="T597" s="4"/>
      <c r="U597" s="4"/>
    </row>
    <row r="598" spans="1:21" x14ac:dyDescent="0.25">
      <c r="A598" s="4"/>
      <c r="B598" s="4"/>
      <c r="C598" s="4"/>
      <c r="D598" s="4"/>
      <c r="E598" s="4"/>
      <c r="F598" s="4"/>
      <c r="G598" s="4"/>
      <c r="H598" s="4"/>
      <c r="I598" s="4"/>
      <c r="J598" s="4"/>
      <c r="K598" s="4"/>
      <c r="L598" s="4"/>
      <c r="M598" s="4"/>
      <c r="N598" s="4"/>
      <c r="O598" s="4"/>
      <c r="P598" s="4"/>
      <c r="Q598" s="4"/>
      <c r="R598" s="4"/>
      <c r="S598" s="4"/>
      <c r="T598" s="4"/>
      <c r="U598" s="4"/>
    </row>
    <row r="599" spans="1:21" x14ac:dyDescent="0.25">
      <c r="A599" s="4"/>
      <c r="B599" s="4"/>
      <c r="C599" s="4"/>
      <c r="D599" s="4"/>
      <c r="E599" s="4"/>
      <c r="F599" s="4"/>
      <c r="G599" s="4"/>
      <c r="H599" s="4"/>
      <c r="I599" s="4"/>
      <c r="J599" s="4"/>
      <c r="K599" s="4"/>
      <c r="L599" s="4"/>
      <c r="M599" s="4"/>
      <c r="N599" s="4"/>
      <c r="O599" s="4"/>
      <c r="P599" s="4"/>
      <c r="Q599" s="4"/>
      <c r="R599" s="4"/>
      <c r="S599" s="4"/>
      <c r="T599" s="4"/>
      <c r="U599" s="4"/>
    </row>
    <row r="600" spans="1:21" x14ac:dyDescent="0.25">
      <c r="A600" s="4"/>
      <c r="B600" s="4"/>
      <c r="C600" s="4"/>
      <c r="D600" s="4"/>
      <c r="E600" s="4"/>
      <c r="F600" s="4"/>
      <c r="G600" s="4"/>
      <c r="H600" s="4"/>
      <c r="I600" s="4"/>
      <c r="J600" s="4"/>
      <c r="K600" s="4"/>
      <c r="L600" s="4"/>
      <c r="M600" s="4"/>
      <c r="N600" s="4"/>
      <c r="O600" s="4"/>
      <c r="P600" s="4"/>
      <c r="Q600" s="4"/>
      <c r="R600" s="4"/>
      <c r="S600" s="4"/>
      <c r="T600" s="4"/>
      <c r="U600" s="4"/>
    </row>
    <row r="601" spans="1:21" x14ac:dyDescent="0.25">
      <c r="A601" s="4"/>
      <c r="B601" s="4"/>
      <c r="C601" s="4"/>
      <c r="D601" s="4"/>
      <c r="E601" s="4"/>
      <c r="F601" s="4"/>
      <c r="G601" s="4"/>
      <c r="H601" s="4"/>
      <c r="I601" s="4"/>
      <c r="J601" s="4"/>
      <c r="K601" s="4"/>
      <c r="L601" s="4"/>
      <c r="M601" s="4"/>
      <c r="N601" s="4"/>
      <c r="O601" s="4"/>
      <c r="P601" s="4"/>
      <c r="Q601" s="4"/>
      <c r="R601" s="4"/>
      <c r="S601" s="4"/>
      <c r="T601" s="4"/>
      <c r="U601" s="4"/>
    </row>
    <row r="602" spans="1:21" x14ac:dyDescent="0.25">
      <c r="A602" s="4"/>
      <c r="B602" s="4"/>
      <c r="C602" s="4"/>
      <c r="D602" s="4"/>
      <c r="E602" s="4"/>
      <c r="F602" s="4"/>
      <c r="G602" s="4"/>
      <c r="H602" s="4"/>
      <c r="I602" s="4"/>
      <c r="J602" s="4"/>
      <c r="K602" s="4"/>
      <c r="L602" s="4"/>
      <c r="M602" s="4"/>
      <c r="N602" s="4"/>
      <c r="O602" s="4"/>
      <c r="P602" s="4"/>
      <c r="Q602" s="4"/>
      <c r="R602" s="4"/>
      <c r="S602" s="4"/>
      <c r="T602" s="4"/>
      <c r="U602" s="4"/>
    </row>
    <row r="603" spans="1:21" x14ac:dyDescent="0.25">
      <c r="A603" s="4"/>
      <c r="B603" s="4"/>
      <c r="C603" s="4"/>
      <c r="D603" s="4"/>
      <c r="E603" s="4"/>
      <c r="F603" s="4"/>
      <c r="G603" s="4"/>
      <c r="H603" s="4"/>
      <c r="I603" s="4"/>
      <c r="J603" s="4"/>
      <c r="K603" s="4"/>
      <c r="L603" s="4"/>
      <c r="M603" s="4"/>
      <c r="N603" s="4"/>
      <c r="O603" s="4"/>
      <c r="P603" s="4"/>
      <c r="Q603" s="4"/>
      <c r="R603" s="4"/>
      <c r="S603" s="4"/>
      <c r="T603" s="4"/>
      <c r="U603" s="4"/>
    </row>
    <row r="604" spans="1:21" x14ac:dyDescent="0.25">
      <c r="A604" s="4"/>
      <c r="B604" s="4"/>
      <c r="C604" s="4"/>
      <c r="D604" s="4"/>
      <c r="E604" s="4"/>
      <c r="F604" s="4"/>
      <c r="G604" s="4"/>
      <c r="H604" s="4"/>
      <c r="I604" s="4"/>
      <c r="J604" s="4"/>
      <c r="K604" s="4"/>
      <c r="L604" s="4"/>
      <c r="M604" s="4"/>
      <c r="N604" s="4"/>
      <c r="O604" s="4"/>
      <c r="P604" s="4"/>
      <c r="Q604" s="4"/>
      <c r="R604" s="4"/>
      <c r="S604" s="4"/>
      <c r="T604" s="4"/>
      <c r="U604" s="4"/>
    </row>
    <row r="605" spans="1:21" x14ac:dyDescent="0.25">
      <c r="A605" s="4"/>
      <c r="B605" s="4"/>
      <c r="C605" s="4"/>
      <c r="D605" s="4"/>
      <c r="E605" s="4"/>
      <c r="F605" s="4"/>
      <c r="G605" s="4"/>
      <c r="H605" s="4"/>
      <c r="I605" s="4"/>
      <c r="J605" s="4"/>
      <c r="K605" s="4"/>
      <c r="L605" s="4"/>
      <c r="M605" s="4"/>
      <c r="N605" s="4"/>
      <c r="O605" s="4"/>
      <c r="P605" s="4"/>
      <c r="Q605" s="4"/>
      <c r="R605" s="4"/>
      <c r="S605" s="4"/>
      <c r="T605" s="4"/>
      <c r="U605" s="4"/>
    </row>
    <row r="606" spans="1:21" x14ac:dyDescent="0.25">
      <c r="A606" s="4"/>
      <c r="B606" s="4"/>
      <c r="C606" s="4"/>
      <c r="D606" s="4"/>
      <c r="E606" s="4"/>
      <c r="F606" s="4"/>
      <c r="G606" s="4"/>
      <c r="H606" s="4"/>
      <c r="I606" s="4"/>
      <c r="J606" s="4"/>
      <c r="K606" s="4"/>
      <c r="L606" s="4"/>
      <c r="M606" s="4"/>
      <c r="N606" s="4"/>
      <c r="O606" s="4"/>
      <c r="P606" s="4"/>
      <c r="Q606" s="4"/>
      <c r="R606" s="4"/>
      <c r="S606" s="4"/>
      <c r="T606" s="4"/>
      <c r="U606" s="4"/>
    </row>
    <row r="607" spans="1:21" x14ac:dyDescent="0.25">
      <c r="A607" s="4"/>
      <c r="B607" s="4"/>
      <c r="C607" s="4"/>
      <c r="D607" s="4"/>
      <c r="E607" s="4"/>
      <c r="F607" s="4"/>
      <c r="G607" s="4"/>
      <c r="H607" s="4"/>
      <c r="I607" s="4"/>
      <c r="J607" s="4"/>
      <c r="K607" s="4"/>
      <c r="L607" s="4"/>
      <c r="M607" s="4"/>
      <c r="N607" s="4"/>
      <c r="O607" s="4"/>
      <c r="P607" s="4"/>
      <c r="Q607" s="4"/>
      <c r="R607" s="4"/>
      <c r="S607" s="4"/>
      <c r="T607" s="4"/>
      <c r="U607" s="4"/>
    </row>
    <row r="608" spans="1:21" x14ac:dyDescent="0.25">
      <c r="A608" s="4"/>
      <c r="B608" s="4"/>
      <c r="C608" s="4"/>
      <c r="D608" s="4"/>
      <c r="E608" s="4"/>
      <c r="F608" s="4"/>
      <c r="G608" s="4"/>
      <c r="H608" s="4"/>
      <c r="I608" s="4"/>
      <c r="J608" s="4"/>
      <c r="K608" s="4"/>
      <c r="L608" s="4"/>
      <c r="M608" s="4"/>
      <c r="N608" s="4"/>
      <c r="O608" s="4"/>
      <c r="P608" s="4"/>
      <c r="Q608" s="4"/>
      <c r="R608" s="4"/>
      <c r="S608" s="4"/>
      <c r="T608" s="4"/>
      <c r="U608" s="4"/>
    </row>
    <row r="609" spans="1:21" x14ac:dyDescent="0.25">
      <c r="A609" s="4"/>
      <c r="B609" s="4"/>
      <c r="C609" s="4"/>
      <c r="D609" s="4"/>
      <c r="E609" s="4"/>
      <c r="F609" s="4"/>
      <c r="G609" s="4"/>
      <c r="H609" s="4"/>
      <c r="I609" s="4"/>
      <c r="J609" s="4"/>
      <c r="K609" s="4"/>
      <c r="L609" s="4"/>
      <c r="M609" s="4"/>
      <c r="N609" s="4"/>
      <c r="O609" s="4"/>
      <c r="P609" s="4"/>
      <c r="Q609" s="4"/>
      <c r="R609" s="4"/>
      <c r="S609" s="4"/>
      <c r="T609" s="4"/>
      <c r="U609" s="4"/>
    </row>
    <row r="610" spans="1:21" x14ac:dyDescent="0.25">
      <c r="A610" s="4"/>
      <c r="B610" s="4"/>
      <c r="C610" s="4"/>
      <c r="D610" s="4"/>
      <c r="E610" s="4"/>
      <c r="F610" s="4"/>
      <c r="G610" s="4"/>
      <c r="H610" s="4"/>
      <c r="I610" s="4"/>
      <c r="J610" s="4"/>
      <c r="K610" s="4"/>
      <c r="L610" s="4"/>
      <c r="M610" s="4"/>
      <c r="N610" s="4"/>
      <c r="O610" s="4"/>
      <c r="P610" s="4"/>
      <c r="Q610" s="4"/>
      <c r="R610" s="4"/>
      <c r="S610" s="4"/>
      <c r="T610" s="4"/>
      <c r="U610" s="4"/>
    </row>
    <row r="611" spans="1:21" x14ac:dyDescent="0.25">
      <c r="A611" s="4"/>
      <c r="B611" s="4"/>
      <c r="C611" s="4"/>
      <c r="D611" s="4"/>
      <c r="E611" s="4"/>
      <c r="F611" s="4"/>
      <c r="G611" s="4"/>
      <c r="H611" s="4"/>
      <c r="I611" s="4"/>
      <c r="J611" s="4"/>
      <c r="K611" s="4"/>
      <c r="L611" s="4"/>
      <c r="M611" s="4"/>
      <c r="N611" s="4"/>
      <c r="O611" s="4"/>
      <c r="P611" s="4"/>
      <c r="Q611" s="4"/>
      <c r="R611" s="4"/>
      <c r="S611" s="4"/>
      <c r="T611" s="4"/>
      <c r="U611" s="4"/>
    </row>
    <row r="612" spans="1:21" x14ac:dyDescent="0.25">
      <c r="A612" s="4"/>
      <c r="B612" s="4"/>
      <c r="C612" s="4"/>
      <c r="D612" s="4"/>
      <c r="E612" s="4"/>
      <c r="F612" s="4"/>
      <c r="G612" s="4"/>
      <c r="H612" s="4"/>
      <c r="I612" s="4"/>
      <c r="J612" s="4"/>
      <c r="K612" s="4"/>
      <c r="L612" s="4"/>
      <c r="M612" s="4"/>
      <c r="N612" s="4"/>
      <c r="O612" s="4"/>
      <c r="P612" s="4"/>
      <c r="Q612" s="4"/>
      <c r="R612" s="4"/>
      <c r="S612" s="4"/>
      <c r="T612" s="4"/>
      <c r="U612" s="4"/>
    </row>
    <row r="613" spans="1:21" x14ac:dyDescent="0.25">
      <c r="A613" s="4"/>
      <c r="B613" s="4"/>
      <c r="C613" s="4"/>
      <c r="D613" s="4"/>
      <c r="E613" s="4"/>
      <c r="F613" s="4"/>
      <c r="G613" s="4"/>
      <c r="H613" s="4"/>
      <c r="I613" s="4"/>
      <c r="J613" s="4"/>
      <c r="K613" s="4"/>
      <c r="L613" s="4"/>
      <c r="M613" s="4"/>
      <c r="N613" s="4"/>
      <c r="O613" s="4"/>
      <c r="P613" s="4"/>
      <c r="Q613" s="4"/>
      <c r="R613" s="4"/>
      <c r="S613" s="4"/>
      <c r="T613" s="4"/>
      <c r="U613" s="4"/>
    </row>
    <row r="614" spans="1:21" x14ac:dyDescent="0.25">
      <c r="A614" s="4"/>
      <c r="B614" s="4"/>
      <c r="C614" s="4"/>
      <c r="D614" s="4"/>
      <c r="E614" s="4"/>
      <c r="F614" s="4"/>
      <c r="G614" s="4"/>
      <c r="H614" s="4"/>
      <c r="I614" s="4"/>
      <c r="J614" s="4"/>
      <c r="K614" s="4"/>
      <c r="L614" s="4"/>
      <c r="M614" s="4"/>
      <c r="N614" s="4"/>
      <c r="O614" s="4"/>
      <c r="P614" s="4"/>
      <c r="Q614" s="4"/>
      <c r="R614" s="4"/>
      <c r="S614" s="4"/>
      <c r="T614" s="4"/>
      <c r="U614" s="4"/>
    </row>
    <row r="615" spans="1:21" x14ac:dyDescent="0.25">
      <c r="A615" s="4"/>
      <c r="B615" s="4"/>
      <c r="C615" s="4"/>
      <c r="D615" s="4"/>
      <c r="E615" s="4"/>
      <c r="F615" s="4"/>
      <c r="G615" s="4"/>
      <c r="H615" s="4"/>
      <c r="I615" s="4"/>
      <c r="J615" s="4"/>
      <c r="K615" s="4"/>
      <c r="L615" s="4"/>
      <c r="M615" s="4"/>
      <c r="N615" s="4"/>
      <c r="O615" s="4"/>
      <c r="P615" s="4"/>
      <c r="Q615" s="4"/>
      <c r="R615" s="4"/>
      <c r="S615" s="4"/>
      <c r="T615" s="4"/>
      <c r="U615" s="4"/>
    </row>
    <row r="616" spans="1:21" x14ac:dyDescent="0.25">
      <c r="A616" s="4"/>
      <c r="B616" s="4"/>
      <c r="C616" s="4"/>
      <c r="D616" s="4"/>
      <c r="E616" s="4"/>
      <c r="F616" s="4"/>
      <c r="G616" s="4"/>
      <c r="H616" s="4"/>
      <c r="I616" s="4"/>
      <c r="J616" s="4"/>
      <c r="K616" s="4"/>
      <c r="L616" s="4"/>
      <c r="M616" s="4"/>
      <c r="N616" s="4"/>
      <c r="O616" s="4"/>
      <c r="P616" s="4"/>
      <c r="Q616" s="4"/>
      <c r="R616" s="4"/>
      <c r="S616" s="4"/>
      <c r="T616" s="4"/>
      <c r="U616" s="4"/>
    </row>
    <row r="617" spans="1:21" x14ac:dyDescent="0.25">
      <c r="A617" s="4"/>
      <c r="B617" s="4"/>
      <c r="C617" s="4"/>
      <c r="D617" s="4"/>
      <c r="E617" s="4"/>
      <c r="F617" s="4"/>
      <c r="G617" s="4"/>
      <c r="H617" s="4"/>
      <c r="I617" s="4"/>
      <c r="J617" s="4"/>
      <c r="K617" s="4"/>
      <c r="L617" s="4"/>
      <c r="M617" s="4"/>
      <c r="N617" s="4"/>
      <c r="O617" s="4"/>
      <c r="P617" s="4"/>
      <c r="Q617" s="4"/>
      <c r="R617" s="4"/>
      <c r="S617" s="4"/>
      <c r="T617" s="4"/>
      <c r="U617" s="4"/>
    </row>
    <row r="618" spans="1:21" x14ac:dyDescent="0.25">
      <c r="A618" s="4"/>
      <c r="B618" s="4"/>
      <c r="C618" s="4"/>
      <c r="D618" s="4"/>
      <c r="E618" s="4"/>
      <c r="F618" s="4"/>
      <c r="G618" s="4"/>
      <c r="H618" s="4"/>
      <c r="I618" s="4"/>
      <c r="J618" s="4"/>
      <c r="K618" s="4"/>
      <c r="L618" s="4"/>
      <c r="M618" s="4"/>
      <c r="N618" s="4"/>
      <c r="O618" s="4"/>
      <c r="P618" s="4"/>
      <c r="Q618" s="4"/>
      <c r="R618" s="4"/>
      <c r="S618" s="4"/>
      <c r="T618" s="4"/>
      <c r="U618" s="4"/>
    </row>
    <row r="619" spans="1:21" x14ac:dyDescent="0.25">
      <c r="A619" s="4"/>
      <c r="B619" s="4"/>
      <c r="C619" s="4"/>
      <c r="D619" s="4"/>
      <c r="E619" s="4"/>
      <c r="F619" s="4"/>
      <c r="G619" s="4"/>
      <c r="H619" s="4"/>
      <c r="I619" s="4"/>
      <c r="J619" s="4"/>
      <c r="K619" s="4"/>
      <c r="L619" s="4"/>
      <c r="M619" s="4"/>
      <c r="N619" s="4"/>
      <c r="O619" s="4"/>
      <c r="P619" s="4"/>
      <c r="Q619" s="4"/>
      <c r="R619" s="4"/>
      <c r="S619" s="4"/>
      <c r="T619" s="4"/>
      <c r="U619" s="4"/>
    </row>
    <row r="620" spans="1:21" x14ac:dyDescent="0.25">
      <c r="A620" s="4"/>
      <c r="B620" s="4"/>
      <c r="C620" s="4"/>
      <c r="D620" s="4"/>
      <c r="E620" s="4"/>
      <c r="F620" s="4"/>
      <c r="G620" s="4"/>
      <c r="H620" s="4"/>
      <c r="I620" s="4"/>
      <c r="J620" s="4"/>
      <c r="K620" s="4"/>
      <c r="L620" s="4"/>
      <c r="M620" s="4"/>
      <c r="N620" s="4"/>
      <c r="O620" s="4"/>
      <c r="P620" s="4"/>
      <c r="Q620" s="4"/>
      <c r="R620" s="4"/>
      <c r="S620" s="4"/>
      <c r="T620" s="4"/>
      <c r="U620" s="4"/>
    </row>
    <row r="621" spans="1:21" x14ac:dyDescent="0.25">
      <c r="A621" s="4"/>
      <c r="B621" s="4"/>
      <c r="C621" s="4"/>
      <c r="D621" s="4"/>
      <c r="E621" s="4"/>
      <c r="F621" s="4"/>
      <c r="G621" s="4"/>
      <c r="H621" s="4"/>
      <c r="I621" s="4"/>
      <c r="J621" s="4"/>
      <c r="K621" s="4"/>
      <c r="L621" s="4"/>
      <c r="M621" s="4"/>
      <c r="N621" s="4"/>
      <c r="O621" s="4"/>
      <c r="P621" s="4"/>
      <c r="Q621" s="4"/>
      <c r="R621" s="4"/>
      <c r="S621" s="4"/>
      <c r="T621" s="4"/>
      <c r="U621" s="4"/>
    </row>
    <row r="622" spans="1:21" x14ac:dyDescent="0.25">
      <c r="A622" s="4"/>
      <c r="B622" s="4"/>
      <c r="C622" s="4"/>
      <c r="D622" s="4"/>
      <c r="E622" s="4"/>
      <c r="F622" s="4"/>
      <c r="G622" s="4"/>
      <c r="H622" s="4"/>
      <c r="I622" s="4"/>
      <c r="J622" s="4"/>
      <c r="K622" s="4"/>
      <c r="L622" s="4"/>
      <c r="M622" s="4"/>
      <c r="N622" s="4"/>
      <c r="O622" s="4"/>
      <c r="P622" s="4"/>
      <c r="Q622" s="4"/>
      <c r="R622" s="4"/>
      <c r="S622" s="4"/>
      <c r="T622" s="4"/>
      <c r="U622" s="4"/>
    </row>
    <row r="623" spans="1:21" x14ac:dyDescent="0.25">
      <c r="A623" s="4"/>
      <c r="B623" s="4"/>
      <c r="C623" s="4"/>
      <c r="D623" s="4"/>
      <c r="E623" s="4"/>
      <c r="F623" s="4"/>
      <c r="G623" s="4"/>
      <c r="H623" s="4"/>
      <c r="I623" s="4"/>
      <c r="J623" s="4"/>
      <c r="K623" s="4"/>
      <c r="L623" s="4"/>
      <c r="M623" s="4"/>
      <c r="N623" s="4"/>
      <c r="O623" s="4"/>
      <c r="P623" s="4"/>
      <c r="Q623" s="4"/>
      <c r="R623" s="4"/>
      <c r="S623" s="4"/>
      <c r="T623" s="4"/>
      <c r="U623" s="4"/>
    </row>
    <row r="624" spans="1:21" x14ac:dyDescent="0.25">
      <c r="A624" s="4"/>
      <c r="B624" s="4"/>
      <c r="C624" s="4"/>
      <c r="D624" s="4"/>
      <c r="E624" s="4"/>
      <c r="F624" s="4"/>
      <c r="G624" s="4"/>
      <c r="H624" s="4"/>
      <c r="I624" s="4"/>
      <c r="J624" s="4"/>
      <c r="K624" s="4"/>
      <c r="L624" s="4"/>
      <c r="M624" s="4"/>
      <c r="N624" s="4"/>
      <c r="O624" s="4"/>
      <c r="P624" s="4"/>
      <c r="Q624" s="4"/>
      <c r="R624" s="4"/>
      <c r="S624" s="4"/>
      <c r="T624" s="4"/>
      <c r="U624" s="4"/>
    </row>
    <row r="625" spans="1:21" x14ac:dyDescent="0.25">
      <c r="A625" s="4"/>
      <c r="B625" s="4"/>
      <c r="C625" s="4"/>
      <c r="D625" s="4"/>
      <c r="E625" s="4"/>
      <c r="F625" s="4"/>
      <c r="G625" s="4"/>
      <c r="H625" s="4"/>
      <c r="I625" s="4"/>
      <c r="J625" s="4"/>
      <c r="K625" s="4"/>
      <c r="L625" s="4"/>
      <c r="M625" s="4"/>
      <c r="N625" s="4"/>
      <c r="O625" s="4"/>
      <c r="P625" s="4"/>
      <c r="Q625" s="4"/>
      <c r="R625" s="4"/>
      <c r="S625" s="4"/>
      <c r="T625" s="4"/>
      <c r="U625" s="4"/>
    </row>
    <row r="626" spans="1:21" x14ac:dyDescent="0.25">
      <c r="A626" s="4"/>
      <c r="B626" s="4"/>
      <c r="C626" s="4"/>
      <c r="D626" s="4"/>
      <c r="E626" s="4"/>
      <c r="F626" s="4"/>
      <c r="G626" s="4"/>
      <c r="H626" s="4"/>
      <c r="I626" s="4"/>
      <c r="J626" s="4"/>
      <c r="K626" s="4"/>
      <c r="L626" s="4"/>
      <c r="M626" s="4"/>
      <c r="N626" s="4"/>
      <c r="O626" s="4"/>
      <c r="P626" s="4"/>
      <c r="Q626" s="4"/>
      <c r="R626" s="4"/>
      <c r="S626" s="4"/>
      <c r="T626" s="4"/>
      <c r="U626" s="4"/>
    </row>
    <row r="627" spans="1:21" x14ac:dyDescent="0.25">
      <c r="A627" s="4"/>
      <c r="B627" s="4"/>
      <c r="C627" s="4"/>
      <c r="D627" s="4"/>
      <c r="E627" s="4"/>
      <c r="F627" s="4"/>
      <c r="G627" s="4"/>
      <c r="H627" s="4"/>
      <c r="I627" s="4"/>
      <c r="J627" s="4"/>
      <c r="K627" s="4"/>
      <c r="L627" s="4"/>
      <c r="M627" s="4"/>
      <c r="N627" s="4"/>
      <c r="O627" s="4"/>
      <c r="P627" s="4"/>
      <c r="Q627" s="4"/>
      <c r="R627" s="4"/>
      <c r="S627" s="4"/>
      <c r="T627" s="4"/>
      <c r="U627" s="4"/>
    </row>
    <row r="628" spans="1:21" x14ac:dyDescent="0.25">
      <c r="A628" s="4"/>
      <c r="B628" s="4"/>
      <c r="C628" s="4"/>
      <c r="D628" s="4"/>
      <c r="E628" s="4"/>
      <c r="F628" s="4"/>
      <c r="G628" s="4"/>
      <c r="H628" s="4"/>
      <c r="I628" s="4"/>
      <c r="J628" s="4"/>
      <c r="K628" s="4"/>
      <c r="L628" s="4"/>
      <c r="M628" s="4"/>
      <c r="N628" s="4"/>
      <c r="O628" s="4"/>
      <c r="P628" s="4"/>
      <c r="Q628" s="4"/>
      <c r="R628" s="4"/>
      <c r="S628" s="4"/>
      <c r="T628" s="4"/>
      <c r="U628" s="4"/>
    </row>
    <row r="629" spans="1:21" x14ac:dyDescent="0.25">
      <c r="A629" s="4"/>
      <c r="B629" s="4"/>
      <c r="C629" s="4"/>
      <c r="D629" s="4"/>
      <c r="E629" s="4"/>
      <c r="F629" s="4"/>
      <c r="G629" s="4"/>
      <c r="H629" s="4"/>
      <c r="I629" s="4"/>
      <c r="J629" s="4"/>
      <c r="K629" s="4"/>
      <c r="L629" s="4"/>
      <c r="M629" s="4"/>
      <c r="N629" s="4"/>
      <c r="O629" s="4"/>
      <c r="P629" s="4"/>
      <c r="Q629" s="4"/>
      <c r="R629" s="4"/>
      <c r="S629" s="4"/>
      <c r="T629" s="4"/>
      <c r="U629" s="4"/>
    </row>
    <row r="630" spans="1:21" x14ac:dyDescent="0.25">
      <c r="A630" s="4"/>
      <c r="B630" s="4"/>
      <c r="C630" s="4"/>
      <c r="D630" s="4"/>
      <c r="E630" s="4"/>
      <c r="F630" s="4"/>
      <c r="G630" s="4"/>
      <c r="H630" s="4"/>
      <c r="I630" s="4"/>
      <c r="J630" s="4"/>
      <c r="K630" s="4"/>
      <c r="L630" s="4"/>
      <c r="M630" s="4"/>
      <c r="N630" s="4"/>
      <c r="O630" s="4"/>
      <c r="P630" s="4"/>
      <c r="Q630" s="4"/>
      <c r="R630" s="4"/>
      <c r="S630" s="4"/>
      <c r="T630" s="4"/>
      <c r="U630" s="4"/>
    </row>
    <row r="631" spans="1:21" x14ac:dyDescent="0.25">
      <c r="A631" s="4"/>
      <c r="B631" s="4"/>
      <c r="C631" s="4"/>
      <c r="D631" s="4"/>
      <c r="E631" s="4"/>
      <c r="F631" s="4"/>
      <c r="G631" s="4"/>
      <c r="H631" s="4"/>
      <c r="I631" s="4"/>
      <c r="J631" s="4"/>
      <c r="K631" s="4"/>
      <c r="L631" s="4"/>
      <c r="M631" s="4"/>
      <c r="N631" s="4"/>
      <c r="O631" s="4"/>
      <c r="P631" s="4"/>
      <c r="Q631" s="4"/>
      <c r="R631" s="4"/>
      <c r="S631" s="4"/>
      <c r="T631" s="4"/>
      <c r="U631" s="4"/>
    </row>
    <row r="632" spans="1:21" x14ac:dyDescent="0.25">
      <c r="A632" s="4"/>
      <c r="B632" s="4"/>
      <c r="C632" s="4"/>
      <c r="D632" s="4"/>
      <c r="E632" s="4"/>
      <c r="F632" s="4"/>
      <c r="G632" s="4"/>
      <c r="H632" s="4"/>
      <c r="I632" s="4"/>
      <c r="J632" s="4"/>
      <c r="K632" s="4"/>
      <c r="L632" s="4"/>
      <c r="M632" s="4"/>
      <c r="N632" s="4"/>
      <c r="O632" s="4"/>
      <c r="P632" s="4"/>
      <c r="Q632" s="4"/>
      <c r="R632" s="4"/>
      <c r="S632" s="4"/>
      <c r="T632" s="4"/>
      <c r="U632" s="4"/>
    </row>
    <row r="633" spans="1:21" x14ac:dyDescent="0.25">
      <c r="A633" s="4"/>
      <c r="B633" s="4"/>
      <c r="C633" s="4"/>
      <c r="D633" s="4"/>
      <c r="E633" s="4"/>
      <c r="F633" s="4"/>
      <c r="G633" s="4"/>
      <c r="H633" s="4"/>
      <c r="I633" s="4"/>
      <c r="J633" s="4"/>
      <c r="K633" s="4"/>
      <c r="L633" s="4"/>
      <c r="M633" s="4"/>
      <c r="N633" s="4"/>
      <c r="O633" s="4"/>
      <c r="P633" s="4"/>
      <c r="Q633" s="4"/>
      <c r="R633" s="4"/>
      <c r="S633" s="4"/>
      <c r="T633" s="4"/>
      <c r="U633" s="4"/>
    </row>
    <row r="634" spans="1:21" x14ac:dyDescent="0.25">
      <c r="A634" s="4"/>
      <c r="B634" s="4"/>
      <c r="C634" s="4"/>
      <c r="D634" s="4"/>
      <c r="E634" s="4"/>
      <c r="F634" s="4"/>
      <c r="G634" s="4"/>
      <c r="H634" s="4"/>
      <c r="I634" s="4"/>
      <c r="J634" s="4"/>
      <c r="K634" s="4"/>
      <c r="L634" s="4"/>
      <c r="M634" s="4"/>
      <c r="N634" s="4"/>
      <c r="O634" s="4"/>
      <c r="P634" s="4"/>
      <c r="Q634" s="4"/>
      <c r="R634" s="4"/>
      <c r="S634" s="4"/>
      <c r="T634" s="4"/>
      <c r="U634" s="4"/>
    </row>
    <row r="635" spans="1:21" x14ac:dyDescent="0.25">
      <c r="A635" s="4"/>
      <c r="B635" s="4"/>
      <c r="C635" s="4"/>
      <c r="D635" s="4"/>
      <c r="E635" s="4"/>
      <c r="F635" s="4"/>
      <c r="G635" s="4"/>
      <c r="H635" s="4"/>
      <c r="I635" s="4"/>
      <c r="J635" s="4"/>
      <c r="K635" s="4"/>
      <c r="L635" s="4"/>
      <c r="M635" s="4"/>
      <c r="N635" s="4"/>
      <c r="O635" s="4"/>
      <c r="P635" s="4"/>
      <c r="Q635" s="4"/>
      <c r="R635" s="4"/>
      <c r="S635" s="4"/>
      <c r="T635" s="4"/>
      <c r="U635" s="4"/>
    </row>
    <row r="636" spans="1:21" x14ac:dyDescent="0.25">
      <c r="A636" s="4"/>
      <c r="B636" s="4"/>
      <c r="C636" s="4"/>
      <c r="D636" s="4"/>
      <c r="E636" s="4"/>
      <c r="F636" s="4"/>
      <c r="G636" s="4"/>
      <c r="H636" s="4"/>
      <c r="I636" s="4"/>
      <c r="J636" s="4"/>
      <c r="K636" s="4"/>
      <c r="L636" s="4"/>
      <c r="M636" s="4"/>
      <c r="N636" s="4"/>
      <c r="O636" s="4"/>
      <c r="P636" s="4"/>
      <c r="Q636" s="4"/>
      <c r="R636" s="4"/>
      <c r="S636" s="4"/>
      <c r="T636" s="4"/>
      <c r="U636" s="4"/>
    </row>
    <row r="637" spans="1:21" x14ac:dyDescent="0.25">
      <c r="A637" s="4"/>
      <c r="B637" s="4"/>
      <c r="C637" s="4"/>
      <c r="D637" s="4"/>
      <c r="E637" s="4"/>
      <c r="F637" s="4"/>
      <c r="G637" s="4"/>
      <c r="H637" s="4"/>
      <c r="I637" s="4"/>
      <c r="J637" s="4"/>
      <c r="K637" s="4"/>
      <c r="L637" s="4"/>
      <c r="M637" s="4"/>
      <c r="N637" s="4"/>
      <c r="O637" s="4"/>
      <c r="P637" s="4"/>
      <c r="Q637" s="4"/>
      <c r="R637" s="4"/>
      <c r="S637" s="4"/>
      <c r="T637" s="4"/>
      <c r="U637" s="4"/>
    </row>
    <row r="638" spans="1:21" x14ac:dyDescent="0.25">
      <c r="A638" s="4"/>
      <c r="B638" s="4"/>
      <c r="C638" s="4"/>
      <c r="D638" s="4"/>
      <c r="E638" s="4"/>
      <c r="F638" s="4"/>
      <c r="K638" s="4"/>
      <c r="L638" s="4"/>
      <c r="M638" s="4"/>
      <c r="N638" s="4"/>
      <c r="O638" s="4"/>
      <c r="P638" s="4"/>
      <c r="Q638" s="4"/>
      <c r="R638" s="4"/>
      <c r="S638" s="4"/>
      <c r="T638" s="4"/>
      <c r="U638" s="4"/>
    </row>
    <row r="639" spans="1:21" x14ac:dyDescent="0.25">
      <c r="A639" s="4"/>
      <c r="B639" s="4"/>
      <c r="C639" s="4"/>
      <c r="D639" s="4"/>
      <c r="E639" s="4"/>
      <c r="F639" s="4"/>
      <c r="K639" s="4"/>
      <c r="L639" s="4"/>
      <c r="M639" s="4"/>
      <c r="N639" s="4"/>
      <c r="O639" s="4"/>
      <c r="P639" s="4"/>
      <c r="Q639" s="4"/>
      <c r="R639" s="4"/>
      <c r="S639" s="4"/>
      <c r="T639" s="4"/>
      <c r="U639" s="4"/>
    </row>
    <row r="640" spans="1:21" x14ac:dyDescent="0.25">
      <c r="A640" s="4"/>
      <c r="B640" s="4"/>
      <c r="C640" s="4"/>
      <c r="D640" s="4"/>
      <c r="E640" s="4"/>
      <c r="F640" s="4"/>
      <c r="K640" s="4"/>
      <c r="L640" s="4"/>
      <c r="M640" s="4"/>
      <c r="N640" s="4"/>
      <c r="O640" s="4"/>
      <c r="P640" s="4"/>
      <c r="Q640" s="4"/>
      <c r="R640" s="4"/>
      <c r="S640" s="4"/>
      <c r="T640" s="4"/>
      <c r="U640" s="4"/>
    </row>
  </sheetData>
  <autoFilter ref="A3:AC165">
    <filterColumn colId="27" showButton="0"/>
  </autoFilter>
  <mergeCells count="372">
    <mergeCell ref="U114:U118"/>
    <mergeCell ref="V119:V121"/>
    <mergeCell ref="X119:X120"/>
    <mergeCell ref="AB125:AB126"/>
    <mergeCell ref="AC125:AC126"/>
    <mergeCell ref="AA79:AA80"/>
    <mergeCell ref="AC100:AC102"/>
    <mergeCell ref="AA114:AA118"/>
    <mergeCell ref="AA106:AA113"/>
    <mergeCell ref="AC83:AC88"/>
    <mergeCell ref="AC114:AC118"/>
    <mergeCell ref="AC93:AC95"/>
    <mergeCell ref="AA119:AA121"/>
    <mergeCell ref="AC119:AC121"/>
    <mergeCell ref="AA100:AA102"/>
    <mergeCell ref="AA98:AA99"/>
    <mergeCell ref="AA93:AA95"/>
    <mergeCell ref="X114:X115"/>
    <mergeCell ref="X106:X107"/>
    <mergeCell ref="V19:V26"/>
    <mergeCell ref="F12:F18"/>
    <mergeCell ref="F37:F42"/>
    <mergeCell ref="E37:E42"/>
    <mergeCell ref="T63:T65"/>
    <mergeCell ref="T69:T70"/>
    <mergeCell ref="T67:T68"/>
    <mergeCell ref="E114:E118"/>
    <mergeCell ref="F114:F118"/>
    <mergeCell ref="V67:V68"/>
    <mergeCell ref="V69:V70"/>
    <mergeCell ref="U69:U70"/>
    <mergeCell ref="U44:U50"/>
    <mergeCell ref="T114:T118"/>
    <mergeCell ref="V114:V118"/>
    <mergeCell ref="U76:U78"/>
    <mergeCell ref="U83:U88"/>
    <mergeCell ref="U106:U113"/>
    <mergeCell ref="V100:V102"/>
    <mergeCell ref="U100:U102"/>
    <mergeCell ref="U79:U80"/>
    <mergeCell ref="V106:V113"/>
    <mergeCell ref="V98:V99"/>
    <mergeCell ref="U98:U99"/>
    <mergeCell ref="D76:D78"/>
    <mergeCell ref="D83:D88"/>
    <mergeCell ref="F83:F88"/>
    <mergeCell ref="T125:T126"/>
    <mergeCell ref="C98:C99"/>
    <mergeCell ref="E93:E95"/>
    <mergeCell ref="D72:D73"/>
    <mergeCell ref="C106:C113"/>
    <mergeCell ref="E72:E73"/>
    <mergeCell ref="T100:T102"/>
    <mergeCell ref="T106:T113"/>
    <mergeCell ref="F72:F73"/>
    <mergeCell ref="T72:T73"/>
    <mergeCell ref="T76:T78"/>
    <mergeCell ref="C100:C102"/>
    <mergeCell ref="C93:C95"/>
    <mergeCell ref="C72:C73"/>
    <mergeCell ref="C114:C118"/>
    <mergeCell ref="T79:T80"/>
    <mergeCell ref="D79:D80"/>
    <mergeCell ref="F100:F102"/>
    <mergeCell ref="E100:E102"/>
    <mergeCell ref="E98:E99"/>
    <mergeCell ref="T98:T99"/>
    <mergeCell ref="F93:F95"/>
    <mergeCell ref="D98:D99"/>
    <mergeCell ref="D93:D95"/>
    <mergeCell ref="F98:F99"/>
    <mergeCell ref="E76:E78"/>
    <mergeCell ref="F76:F78"/>
    <mergeCell ref="E79:E80"/>
    <mergeCell ref="W5:W11"/>
    <mergeCell ref="C59:C62"/>
    <mergeCell ref="W19:W26"/>
    <mergeCell ref="W63:W65"/>
    <mergeCell ref="T93:T95"/>
    <mergeCell ref="F79:F80"/>
    <mergeCell ref="E69:E70"/>
    <mergeCell ref="F69:F70"/>
    <mergeCell ref="E67:E68"/>
    <mergeCell ref="C12:C18"/>
    <mergeCell ref="D69:D70"/>
    <mergeCell ref="C37:C42"/>
    <mergeCell ref="C69:C70"/>
    <mergeCell ref="C63:C65"/>
    <mergeCell ref="D63:D65"/>
    <mergeCell ref="C51:C58"/>
    <mergeCell ref="C67:C68"/>
    <mergeCell ref="AB2:AC3"/>
    <mergeCell ref="AA2:AA3"/>
    <mergeCell ref="X2:X3"/>
    <mergeCell ref="W2:W3"/>
    <mergeCell ref="AC12:AC18"/>
    <mergeCell ref="AB16:AB18"/>
    <mergeCell ref="AA12:AA18"/>
    <mergeCell ref="Z2:Z3"/>
    <mergeCell ref="X5:X11"/>
    <mergeCell ref="AA5:AA11"/>
    <mergeCell ref="AB5:AB11"/>
    <mergeCell ref="AC5:AC11"/>
    <mergeCell ref="Y2:Y3"/>
    <mergeCell ref="V2:V3"/>
    <mergeCell ref="T59:T62"/>
    <mergeCell ref="X16:X18"/>
    <mergeCell ref="V12:V18"/>
    <mergeCell ref="U12:U18"/>
    <mergeCell ref="T32:T36"/>
    <mergeCell ref="T12:T18"/>
    <mergeCell ref="D19:D26"/>
    <mergeCell ref="U32:U36"/>
    <mergeCell ref="V32:V36"/>
    <mergeCell ref="D12:D18"/>
    <mergeCell ref="E32:E36"/>
    <mergeCell ref="D32:D36"/>
    <mergeCell ref="D44:D50"/>
    <mergeCell ref="E12:E18"/>
    <mergeCell ref="E30:E31"/>
    <mergeCell ref="D37:D42"/>
    <mergeCell ref="T44:T50"/>
    <mergeCell ref="D30:D31"/>
    <mergeCell ref="F19:F26"/>
    <mergeCell ref="V5:V10"/>
    <mergeCell ref="U5:U10"/>
    <mergeCell ref="T5:T10"/>
    <mergeCell ref="E51:E58"/>
    <mergeCell ref="T160:T162"/>
    <mergeCell ref="AC27:AC29"/>
    <mergeCell ref="AC51:AC58"/>
    <mergeCell ref="AB63:AB65"/>
    <mergeCell ref="AA59:AA62"/>
    <mergeCell ref="U67:U68"/>
    <mergeCell ref="AA63:AA65"/>
    <mergeCell ref="V63:V65"/>
    <mergeCell ref="AC67:AC68"/>
    <mergeCell ref="V44:V50"/>
    <mergeCell ref="V51:V58"/>
    <mergeCell ref="V59:V62"/>
    <mergeCell ref="U63:U65"/>
    <mergeCell ref="AC59:AC62"/>
    <mergeCell ref="V37:V42"/>
    <mergeCell ref="U37:U42"/>
    <mergeCell ref="T83:T88"/>
    <mergeCell ref="U59:U62"/>
    <mergeCell ref="V79:V80"/>
    <mergeCell ref="V83:V88"/>
    <mergeCell ref="V76:V78"/>
    <mergeCell ref="U93:U95"/>
    <mergeCell ref="W153:W155"/>
    <mergeCell ref="X153:X155"/>
    <mergeCell ref="F144:F148"/>
    <mergeCell ref="B124:B126"/>
    <mergeCell ref="T150:T152"/>
    <mergeCell ref="T141:T143"/>
    <mergeCell ref="F127:F130"/>
    <mergeCell ref="E127:E130"/>
    <mergeCell ref="C127:C130"/>
    <mergeCell ref="D127:D130"/>
    <mergeCell ref="E125:E126"/>
    <mergeCell ref="D125:D126"/>
    <mergeCell ref="C125:C126"/>
    <mergeCell ref="D144:D148"/>
    <mergeCell ref="C144:C148"/>
    <mergeCell ref="B144:B149"/>
    <mergeCell ref="E144:E148"/>
    <mergeCell ref="A160:A162"/>
    <mergeCell ref="A157:A158"/>
    <mergeCell ref="B157:B158"/>
    <mergeCell ref="E157:E158"/>
    <mergeCell ref="F153:F155"/>
    <mergeCell ref="D153:D155"/>
    <mergeCell ref="E153:E155"/>
    <mergeCell ref="C153:C155"/>
    <mergeCell ref="B150:B155"/>
    <mergeCell ref="A150:A155"/>
    <mergeCell ref="D150:D152"/>
    <mergeCell ref="E150:E152"/>
    <mergeCell ref="F150:F152"/>
    <mergeCell ref="B159:B162"/>
    <mergeCell ref="C157:C158"/>
    <mergeCell ref="C150:C152"/>
    <mergeCell ref="E159:E162"/>
    <mergeCell ref="D159:D162"/>
    <mergeCell ref="F159:F162"/>
    <mergeCell ref="D157:D158"/>
    <mergeCell ref="E119:E121"/>
    <mergeCell ref="F125:F126"/>
    <mergeCell ref="B98:B99"/>
    <mergeCell ref="T119:T121"/>
    <mergeCell ref="F106:F113"/>
    <mergeCell ref="D114:D118"/>
    <mergeCell ref="D100:D102"/>
    <mergeCell ref="B119:B122"/>
    <mergeCell ref="A131:A149"/>
    <mergeCell ref="B131:B143"/>
    <mergeCell ref="C131:C133"/>
    <mergeCell ref="C134:C136"/>
    <mergeCell ref="C137:C140"/>
    <mergeCell ref="D141:D143"/>
    <mergeCell ref="F131:F133"/>
    <mergeCell ref="C141:C143"/>
    <mergeCell ref="D134:D136"/>
    <mergeCell ref="D131:D133"/>
    <mergeCell ref="E141:E143"/>
    <mergeCell ref="F141:F143"/>
    <mergeCell ref="E131:E133"/>
    <mergeCell ref="E134:E136"/>
    <mergeCell ref="E137:E140"/>
    <mergeCell ref="F137:F140"/>
    <mergeCell ref="A127:A129"/>
    <mergeCell ref="D137:D140"/>
    <mergeCell ref="F134:F136"/>
    <mergeCell ref="T134:T136"/>
    <mergeCell ref="B127:B129"/>
    <mergeCell ref="A100:A113"/>
    <mergeCell ref="C119:C121"/>
    <mergeCell ref="B106:B113"/>
    <mergeCell ref="B83:B90"/>
    <mergeCell ref="E83:E88"/>
    <mergeCell ref="A76:A95"/>
    <mergeCell ref="C76:C78"/>
    <mergeCell ref="C79:C80"/>
    <mergeCell ref="C83:C88"/>
    <mergeCell ref="A114:A122"/>
    <mergeCell ref="B114:B118"/>
    <mergeCell ref="B96:B97"/>
    <mergeCell ref="B76:B81"/>
    <mergeCell ref="B100:B102"/>
    <mergeCell ref="D119:D121"/>
    <mergeCell ref="D106:D113"/>
    <mergeCell ref="E106:E113"/>
    <mergeCell ref="F119:F121"/>
    <mergeCell ref="T127:T130"/>
    <mergeCell ref="C5:C10"/>
    <mergeCell ref="F5:F10"/>
    <mergeCell ref="D51:D58"/>
    <mergeCell ref="D67:D68"/>
    <mergeCell ref="F67:F68"/>
    <mergeCell ref="E5:E10"/>
    <mergeCell ref="D5:D10"/>
    <mergeCell ref="C30:C31"/>
    <mergeCell ref="F30:F31"/>
    <mergeCell ref="F44:F50"/>
    <mergeCell ref="F51:F58"/>
    <mergeCell ref="E63:E65"/>
    <mergeCell ref="F63:F65"/>
    <mergeCell ref="A1:U1"/>
    <mergeCell ref="D2:D3"/>
    <mergeCell ref="E2:E3"/>
    <mergeCell ref="F2:F3"/>
    <mergeCell ref="T2:T3"/>
    <mergeCell ref="U2:U3"/>
    <mergeCell ref="U51:U58"/>
    <mergeCell ref="D59:D62"/>
    <mergeCell ref="T19:T26"/>
    <mergeCell ref="U19:U26"/>
    <mergeCell ref="E19:E26"/>
    <mergeCell ref="E59:E62"/>
    <mergeCell ref="F59:F62"/>
    <mergeCell ref="A2:A3"/>
    <mergeCell ref="E44:E50"/>
    <mergeCell ref="B2:B3"/>
    <mergeCell ref="C19:C26"/>
    <mergeCell ref="C32:C36"/>
    <mergeCell ref="C44:C50"/>
    <mergeCell ref="R2:S2"/>
    <mergeCell ref="F32:F36"/>
    <mergeCell ref="T51:T58"/>
    <mergeCell ref="C2:C3"/>
    <mergeCell ref="G2:O2"/>
    <mergeCell ref="V160:V162"/>
    <mergeCell ref="U160:U162"/>
    <mergeCell ref="F157:F158"/>
    <mergeCell ref="T157:T158"/>
    <mergeCell ref="U157:U158"/>
    <mergeCell ref="V157:V158"/>
    <mergeCell ref="W157:W158"/>
    <mergeCell ref="X41:X42"/>
    <mergeCell ref="W40:W42"/>
    <mergeCell ref="W160:W162"/>
    <mergeCell ref="U144:U148"/>
    <mergeCell ref="U125:U126"/>
    <mergeCell ref="V125:V126"/>
    <mergeCell ref="U119:U121"/>
    <mergeCell ref="U127:U130"/>
    <mergeCell ref="V72:V73"/>
    <mergeCell ref="U72:U73"/>
    <mergeCell ref="V93:V95"/>
    <mergeCell ref="V127:V130"/>
    <mergeCell ref="T37:T42"/>
    <mergeCell ref="U150:U152"/>
    <mergeCell ref="V150:V152"/>
    <mergeCell ref="T144:T148"/>
    <mergeCell ref="T153:T155"/>
    <mergeCell ref="AA157:AA158"/>
    <mergeCell ref="AC159:AC162"/>
    <mergeCell ref="AB157:AB158"/>
    <mergeCell ref="AC157:AC158"/>
    <mergeCell ref="AA144:AA148"/>
    <mergeCell ref="AA159:AA160"/>
    <mergeCell ref="X157:X158"/>
    <mergeCell ref="X151:X152"/>
    <mergeCell ref="W151:W152"/>
    <mergeCell ref="AB150:AB152"/>
    <mergeCell ref="AC150:AC152"/>
    <mergeCell ref="AC144:AC148"/>
    <mergeCell ref="AA153:AA155"/>
    <mergeCell ref="AB153:AB155"/>
    <mergeCell ref="AC153:AC155"/>
    <mergeCell ref="AA150:AA152"/>
    <mergeCell ref="W76:W78"/>
    <mergeCell ref="AA76:AA78"/>
    <mergeCell ref="W98:W99"/>
    <mergeCell ref="AA127:AA130"/>
    <mergeCell ref="X98:X99"/>
    <mergeCell ref="AB83:AB84"/>
    <mergeCell ref="AC106:AC113"/>
    <mergeCell ref="AA83:AA88"/>
    <mergeCell ref="AC98:AC99"/>
    <mergeCell ref="AC79:AC80"/>
    <mergeCell ref="W79:W80"/>
    <mergeCell ref="AC76:AC78"/>
    <mergeCell ref="X100:X101"/>
    <mergeCell ref="W83:W88"/>
    <mergeCell ref="W93:W95"/>
    <mergeCell ref="W125:W126"/>
    <mergeCell ref="X125:X126"/>
    <mergeCell ref="AA125:AA126"/>
    <mergeCell ref="W127:W130"/>
    <mergeCell ref="AB128:AB130"/>
    <mergeCell ref="AC127:AC130"/>
    <mergeCell ref="X83:X84"/>
    <mergeCell ref="X127:X130"/>
    <mergeCell ref="AA51:AA58"/>
    <mergeCell ref="AC44:AC50"/>
    <mergeCell ref="AA72:AA73"/>
    <mergeCell ref="AA67:AA68"/>
    <mergeCell ref="AC19:AC26"/>
    <mergeCell ref="AC32:AC36"/>
    <mergeCell ref="AC30:AC31"/>
    <mergeCell ref="AC37:AC42"/>
    <mergeCell ref="AB41:AB42"/>
    <mergeCell ref="AA37:AA42"/>
    <mergeCell ref="AC72:AC73"/>
    <mergeCell ref="AA69:AA70"/>
    <mergeCell ref="AC63:AC65"/>
    <mergeCell ref="A5:A75"/>
    <mergeCell ref="B5:B75"/>
    <mergeCell ref="AC134:AC135"/>
    <mergeCell ref="AC141:AC143"/>
    <mergeCell ref="U134:U136"/>
    <mergeCell ref="V144:V148"/>
    <mergeCell ref="V141:V143"/>
    <mergeCell ref="U141:U143"/>
    <mergeCell ref="V131:V133"/>
    <mergeCell ref="V134:V136"/>
    <mergeCell ref="T137:T140"/>
    <mergeCell ref="AA141:AA143"/>
    <mergeCell ref="AA137:AA140"/>
    <mergeCell ref="AA134:AA136"/>
    <mergeCell ref="AA131:AA133"/>
    <mergeCell ref="AC137:AC140"/>
    <mergeCell ref="V137:V140"/>
    <mergeCell ref="U131:U133"/>
    <mergeCell ref="AC131:AC133"/>
    <mergeCell ref="T131:T133"/>
    <mergeCell ref="U137:U140"/>
    <mergeCell ref="AA19:AA26"/>
    <mergeCell ref="AA32:AA36"/>
    <mergeCell ref="AA44:AA50"/>
  </mergeCells>
  <pageMargins left="0.70866141732283461" right="0.70866141732283461" top="0.3543307086614173" bottom="0.55118110236220474" header="0.31496062992125984" footer="0.31496062992125984"/>
  <pageSetup paperSize="9" scale="2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topLeftCell="A19" workbookViewId="0">
      <selection activeCell="E34" sqref="E34"/>
    </sheetView>
  </sheetViews>
  <sheetFormatPr defaultRowHeight="15" x14ac:dyDescent="0.25"/>
  <cols>
    <col min="1" max="1" width="42.28515625" customWidth="1"/>
    <col min="2" max="2" width="19" customWidth="1"/>
    <col min="3" max="3" width="20.7109375" customWidth="1"/>
    <col min="4" max="4" width="15.28515625" customWidth="1"/>
    <col min="5" max="5" width="14.85546875" customWidth="1"/>
    <col min="6" max="6" width="19.42578125" customWidth="1"/>
    <col min="7" max="7" width="15" customWidth="1"/>
    <col min="8" max="8" width="13.140625" customWidth="1"/>
    <col min="9" max="9" width="38.42578125" customWidth="1"/>
  </cols>
  <sheetData>
    <row r="1" spans="1:10" ht="90.75" customHeight="1" x14ac:dyDescent="0.25">
      <c r="A1" s="6" t="s">
        <v>2</v>
      </c>
      <c r="B1" s="6" t="s">
        <v>1277</v>
      </c>
      <c r="C1" s="6" t="s">
        <v>1278</v>
      </c>
      <c r="D1" s="6" t="str">
        <f>D16</f>
        <v>2022 m. pagal planą vykdomų kampanijų skaičius</v>
      </c>
      <c r="E1" s="6" t="s">
        <v>1279</v>
      </c>
      <c r="F1" s="6" t="s">
        <v>1280</v>
      </c>
      <c r="G1" s="6" t="s">
        <v>1281</v>
      </c>
      <c r="H1" s="6" t="s">
        <v>1282</v>
      </c>
    </row>
    <row r="2" spans="1:10" ht="36" customHeight="1" x14ac:dyDescent="0.25">
      <c r="A2" s="21" t="str">
        <f>'2022 m. plano įgyvendinimas'!A5</f>
        <v>LIETUVA, KURIĄ KURIAME 
EUROPOS SĄJUNGOS INVESTICIJOMIS</v>
      </c>
      <c r="B2" s="8">
        <v>19</v>
      </c>
      <c r="C2" s="10">
        <v>19</v>
      </c>
      <c r="D2" s="32">
        <f>SUM('2022 m. plano įgyvendinimas'!AB5:AB75)</f>
        <v>14.247724759739588</v>
      </c>
      <c r="E2" s="33">
        <f>D2/C2</f>
        <v>0.74988025051260987</v>
      </c>
      <c r="F2" s="9">
        <f>SUM('2022 m. plano įgyvendinimas'!W5:W75)</f>
        <v>2468835</v>
      </c>
      <c r="G2" s="9">
        <f>SUM('2022 m. plano įgyvendinimas'!X5:X75)</f>
        <v>2011052.9699999997</v>
      </c>
      <c r="H2" s="31">
        <f>G2/F2</f>
        <v>0.81457568853325546</v>
      </c>
      <c r="I2" s="38"/>
    </row>
    <row r="3" spans="1:10" ht="16.5" x14ac:dyDescent="0.25">
      <c r="A3" s="22" t="str">
        <f>'2022 m. plano įgyvendinimas'!A76</f>
        <v xml:space="preserve">PAŽANGI LIETUVA </v>
      </c>
      <c r="B3" s="7">
        <v>7</v>
      </c>
      <c r="C3" s="8">
        <v>7</v>
      </c>
      <c r="D3" s="34">
        <f>SUM('2022 m. plano įgyvendinimas'!AB76:AB95)</f>
        <v>4</v>
      </c>
      <c r="E3" s="33">
        <f>D3/C3</f>
        <v>0.5714285714285714</v>
      </c>
      <c r="F3" s="10">
        <f>SUM('2022 m. plano įgyvendinimas'!W76:W95)</f>
        <v>381736</v>
      </c>
      <c r="G3" s="10">
        <f>SUM('2022 m. plano įgyvendinimas'!X76:X95)</f>
        <v>160523.23000000001</v>
      </c>
      <c r="H3" s="31">
        <f>G3/F3</f>
        <v>0.42050849278035085</v>
      </c>
    </row>
    <row r="4" spans="1:10" ht="16.5" x14ac:dyDescent="0.25">
      <c r="A4" s="22" t="str">
        <f>'2022 m. plano įgyvendinimas'!A96</f>
        <v>VERSLI LIETUVA</v>
      </c>
      <c r="B4" s="7">
        <v>3</v>
      </c>
      <c r="C4" s="8">
        <v>3</v>
      </c>
      <c r="D4" s="34">
        <f>SUM('2022 m. plano įgyvendinimas'!AB96:AB99)</f>
        <v>3</v>
      </c>
      <c r="E4" s="33">
        <f t="shared" ref="E4:E12" si="0">D4/C4</f>
        <v>1</v>
      </c>
      <c r="F4" s="10">
        <f>SUM('2022 m. plano įgyvendinimas'!W96:W99)</f>
        <v>68297</v>
      </c>
      <c r="G4" s="10">
        <f>SUM('2022 m. plano įgyvendinimas'!X96:X99)</f>
        <v>66096.72</v>
      </c>
      <c r="H4" s="31">
        <f t="shared" ref="H4:H13" si="1">G4/F4</f>
        <v>0.96778365081921613</v>
      </c>
    </row>
    <row r="5" spans="1:10" ht="16.5" x14ac:dyDescent="0.25">
      <c r="A5" s="15" t="s">
        <v>821</v>
      </c>
      <c r="B5" s="7">
        <v>3</v>
      </c>
      <c r="C5" s="8">
        <v>3</v>
      </c>
      <c r="D5" s="34">
        <f>SUM('2022 m. plano įgyvendinimas'!AB100:AB113)</f>
        <v>2</v>
      </c>
      <c r="E5" s="33">
        <f t="shared" si="0"/>
        <v>0.66666666666666663</v>
      </c>
      <c r="F5" s="10">
        <f>SUM('2022 m. plano įgyvendinimas'!W100:W113)</f>
        <v>214405</v>
      </c>
      <c r="G5" s="10">
        <f>SUM('2022 m. plano įgyvendinimas'!X100:X113)</f>
        <v>126628.75</v>
      </c>
      <c r="H5" s="31">
        <f t="shared" si="1"/>
        <v>0.5906053963293767</v>
      </c>
    </row>
    <row r="6" spans="1:10" ht="16.5" x14ac:dyDescent="0.25">
      <c r="A6" s="23" t="str">
        <f>'2022 m. plano įgyvendinimas'!A114</f>
        <v xml:space="preserve">AUGANTI LIETUVA </v>
      </c>
      <c r="B6" s="7">
        <v>3</v>
      </c>
      <c r="C6" s="8">
        <v>3</v>
      </c>
      <c r="D6" s="34">
        <f>SUM('2022 m. plano įgyvendinimas'!AB114:AB122)</f>
        <v>2</v>
      </c>
      <c r="E6" s="33">
        <f t="shared" si="0"/>
        <v>0.66666666666666663</v>
      </c>
      <c r="F6" s="10">
        <f>SUM('2022 m. plano įgyvendinimas'!W114:W122)</f>
        <v>141267</v>
      </c>
      <c r="G6" s="10">
        <f>SUM('2022 m. plano įgyvendinimas'!X114:X122)</f>
        <v>80605</v>
      </c>
      <c r="H6" s="31">
        <f t="shared" si="1"/>
        <v>0.57058619493583074</v>
      </c>
    </row>
    <row r="7" spans="1:10" ht="16.5" x14ac:dyDescent="0.25">
      <c r="A7" s="23" t="str">
        <f>'2022 m. plano įgyvendinimas'!A123</f>
        <v>TOLYDI LIETUVA</v>
      </c>
      <c r="B7" s="7">
        <v>3</v>
      </c>
      <c r="C7" s="8">
        <v>3</v>
      </c>
      <c r="D7" s="32">
        <f>SUM('2022 m. plano įgyvendinimas'!AB123:AB126)</f>
        <v>2</v>
      </c>
      <c r="E7" s="33">
        <f t="shared" si="0"/>
        <v>0.66666666666666663</v>
      </c>
      <c r="F7" s="9">
        <f>SUM('2022 m. plano įgyvendinimas'!W123:W126)</f>
        <v>213000</v>
      </c>
      <c r="G7" s="9">
        <f>SUM('2022 m. plano įgyvendinimas'!X123:X126)</f>
        <v>178329.8</v>
      </c>
      <c r="H7" s="31">
        <f t="shared" si="1"/>
        <v>0.83722910798122063</v>
      </c>
    </row>
    <row r="8" spans="1:10" ht="16.5" x14ac:dyDescent="0.25">
      <c r="A8" s="23" t="str">
        <f>'2022 m. plano įgyvendinimas'!A127</f>
        <v>SVEIKA LIETUVA</v>
      </c>
      <c r="B8" s="7">
        <v>1</v>
      </c>
      <c r="C8" s="8">
        <v>1</v>
      </c>
      <c r="D8" s="32">
        <f>SUM('2022 m. plano įgyvendinimas'!AB127:AB130)</f>
        <v>0</v>
      </c>
      <c r="E8" s="33">
        <f t="shared" si="0"/>
        <v>0</v>
      </c>
      <c r="F8" s="10">
        <f>SUM('2022 m. plano įgyvendinimas'!W127:W130)</f>
        <v>1516000</v>
      </c>
      <c r="G8" s="10">
        <f>SUM('2022 m. plano įgyvendinimas'!X127:X130)</f>
        <v>273956.13</v>
      </c>
      <c r="H8" s="31">
        <f t="shared" si="1"/>
        <v>0.18070984828496042</v>
      </c>
      <c r="I8" s="30"/>
    </row>
    <row r="9" spans="1:10" ht="16.5" x14ac:dyDescent="0.25">
      <c r="A9" s="23" t="str">
        <f>'2022 m. plano įgyvendinimas'!A131</f>
        <v>TVARI LIETUVA</v>
      </c>
      <c r="B9" s="7">
        <v>6</v>
      </c>
      <c r="C9" s="8">
        <v>6</v>
      </c>
      <c r="D9" s="34">
        <f>SUM('2022 m. plano įgyvendinimas'!AB131:AB149)</f>
        <v>5</v>
      </c>
      <c r="E9" s="33">
        <f t="shared" si="0"/>
        <v>0.83333333333333337</v>
      </c>
      <c r="F9" s="10">
        <f>SUM('2022 m. plano įgyvendinimas'!W131:W149)</f>
        <v>491259</v>
      </c>
      <c r="G9" s="10">
        <f>SUM('2022 m. plano įgyvendinimas'!X131:X149)</f>
        <v>451413.82999999996</v>
      </c>
      <c r="H9" s="31">
        <f t="shared" si="1"/>
        <v>0.91889172513887774</v>
      </c>
    </row>
    <row r="10" spans="1:10" ht="16.5" x14ac:dyDescent="0.25">
      <c r="A10" s="23" t="str">
        <f>'2022 m. plano įgyvendinimas'!A150</f>
        <v>KURIANTI LIETUVA</v>
      </c>
      <c r="B10" s="7">
        <v>2</v>
      </c>
      <c r="C10" s="8">
        <v>2</v>
      </c>
      <c r="D10" s="34">
        <f>SUM('2022 m. plano įgyvendinimas'!AB150:AB155)</f>
        <v>1</v>
      </c>
      <c r="E10" s="33">
        <f t="shared" si="0"/>
        <v>0.5</v>
      </c>
      <c r="F10" s="10">
        <f>SUM('2022 m. plano įgyvendinimas'!W150:W155)</f>
        <v>67274</v>
      </c>
      <c r="G10" s="10">
        <f>SUM('2022 m. plano įgyvendinimas'!X150:X155)</f>
        <v>17462</v>
      </c>
      <c r="H10" s="31">
        <f t="shared" si="1"/>
        <v>0.25956535957427834</v>
      </c>
    </row>
    <row r="11" spans="1:10" ht="16.5" x14ac:dyDescent="0.25">
      <c r="A11" s="23" t="str">
        <f>'2022 m. plano įgyvendinimas'!A156</f>
        <v>AKTYVI (PILIETIŠKA) LIETUVA</v>
      </c>
      <c r="B11" s="7">
        <v>2</v>
      </c>
      <c r="C11" s="8">
        <v>2</v>
      </c>
      <c r="D11" s="32">
        <f>SUM('2022 m. plano įgyvendinimas'!AB156:AB158)</f>
        <v>1</v>
      </c>
      <c r="E11" s="33">
        <f t="shared" si="0"/>
        <v>0.5</v>
      </c>
      <c r="F11" s="9">
        <f>SUM('2022 m. plano įgyvendinimas'!W156:W158)</f>
        <v>245412.55</v>
      </c>
      <c r="G11" s="9">
        <f>SUM('2022 m. plano įgyvendinimas'!X156:X158)</f>
        <v>91453.49</v>
      </c>
      <c r="H11" s="31">
        <f>G11/F11</f>
        <v>0.37265205059806439</v>
      </c>
      <c r="I11" s="38"/>
    </row>
    <row r="12" spans="1:10" ht="16.5" x14ac:dyDescent="0.25">
      <c r="A12" s="15" t="str">
        <f>'2022 m. plano įgyvendinimas'!A159</f>
        <v>EFEKTYVI LIETUVA</v>
      </c>
      <c r="B12" s="7">
        <v>1</v>
      </c>
      <c r="C12" s="8">
        <v>1</v>
      </c>
      <c r="D12" s="34">
        <f>SUM('2022 m. plano įgyvendinimas'!AB159:AB162)</f>
        <v>1</v>
      </c>
      <c r="E12" s="33">
        <f t="shared" si="0"/>
        <v>1</v>
      </c>
      <c r="F12" s="10">
        <f>SUM('2022 m. plano įgyvendinimas'!W159:W159)</f>
        <v>170240</v>
      </c>
      <c r="G12" s="10">
        <f>SUM('2022 m. plano įgyvendinimas'!X159)</f>
        <v>89059.29</v>
      </c>
      <c r="H12" s="31">
        <f t="shared" si="1"/>
        <v>0.52313962640977441</v>
      </c>
    </row>
    <row r="13" spans="1:10" ht="16.5" x14ac:dyDescent="0.25">
      <c r="A13" s="14" t="s">
        <v>1283</v>
      </c>
      <c r="B13" s="11">
        <f>SUM(B2:B12)</f>
        <v>50</v>
      </c>
      <c r="C13" s="11">
        <f>SUM(C2:C12)</f>
        <v>50</v>
      </c>
      <c r="D13" s="13">
        <f>SUM(D2:D12)</f>
        <v>35.24772475973959</v>
      </c>
      <c r="E13" s="12">
        <f>D13/C13</f>
        <v>0.70495449519479181</v>
      </c>
      <c r="F13" s="13">
        <f>SUM(F2:F12)</f>
        <v>5977725.5499999998</v>
      </c>
      <c r="G13" s="13">
        <f>SUM(G2:G12)</f>
        <v>3546581.21</v>
      </c>
      <c r="H13" s="18">
        <f t="shared" si="1"/>
        <v>0.59329943811154062</v>
      </c>
      <c r="I13" s="27"/>
    </row>
    <row r="14" spans="1:10" x14ac:dyDescent="0.25">
      <c r="A14" s="217" t="s">
        <v>1284</v>
      </c>
      <c r="B14" s="218">
        <f>B13-1</f>
        <v>49</v>
      </c>
      <c r="C14" s="218">
        <f>C13-1</f>
        <v>49</v>
      </c>
      <c r="D14" s="219">
        <f>D13-0</f>
        <v>35.24772475973959</v>
      </c>
      <c r="E14" s="220">
        <f>D14/C14</f>
        <v>0.71934132162733855</v>
      </c>
      <c r="F14" s="219">
        <f>F13-'2022 m. plano įgyvendinimas'!W72</f>
        <v>5747725.5499999998</v>
      </c>
      <c r="G14" s="219">
        <f>G13-'2022 m. plano įgyvendinimas'!X72</f>
        <v>3336008.56</v>
      </c>
      <c r="H14" s="221">
        <f>G14/F14</f>
        <v>0.58040498471608482</v>
      </c>
    </row>
    <row r="16" spans="1:10" ht="93.75" customHeight="1" x14ac:dyDescent="0.25">
      <c r="A16" s="6" t="s">
        <v>1285</v>
      </c>
      <c r="B16" s="6" t="s">
        <v>1277</v>
      </c>
      <c r="C16" s="6" t="str">
        <f>C1</f>
        <v>Kampanijų skaičius, kurioms 2022 m. skirtas finansavimas</v>
      </c>
      <c r="D16" s="6" t="s">
        <v>1286</v>
      </c>
      <c r="E16" s="6" t="str">
        <f>E1</f>
        <v xml:space="preserve">2022 m. plano vykdymas, proc. </v>
      </c>
      <c r="F16" s="6" t="s">
        <v>1280</v>
      </c>
      <c r="G16" s="6" t="s">
        <v>1281</v>
      </c>
      <c r="H16" s="6" t="s">
        <v>1287</v>
      </c>
      <c r="I16" s="233"/>
      <c r="J16" s="234"/>
    </row>
    <row r="17" spans="1:9" ht="16.5" x14ac:dyDescent="0.25">
      <c r="A17" s="15" t="s">
        <v>1288</v>
      </c>
      <c r="B17" s="8">
        <v>1</v>
      </c>
      <c r="C17" s="47">
        <v>1</v>
      </c>
      <c r="D17" s="34">
        <f>'2022 m. plano įgyvendinimas'!AB131</f>
        <v>1</v>
      </c>
      <c r="E17" s="35">
        <f t="shared" ref="E17:E25" si="2">D17/C17</f>
        <v>1</v>
      </c>
      <c r="F17" s="10">
        <f>'2022 m. plano įgyvendinimas'!W131</f>
        <v>320000</v>
      </c>
      <c r="G17" s="10">
        <f>'2022 m. plano įgyvendinimas'!X131</f>
        <v>308566.78000000003</v>
      </c>
      <c r="H17" s="31">
        <f t="shared" ref="H17:H36" si="3">G17/F17</f>
        <v>0.96427118750000007</v>
      </c>
    </row>
    <row r="18" spans="1:9" ht="16.5" x14ac:dyDescent="0.25">
      <c r="A18" s="15" t="s">
        <v>1289</v>
      </c>
      <c r="B18" s="8">
        <v>4</v>
      </c>
      <c r="C18" s="47">
        <v>4</v>
      </c>
      <c r="D18" s="34">
        <f>'2022 m. plano įgyvendinimas'!AB76+'2022 m. plano įgyvendinimas'!AB96+'2022 m. plano įgyvendinimas'!AB74+'2022 m. plano įgyvendinimas'!AB137</f>
        <v>3</v>
      </c>
      <c r="E18" s="35">
        <f t="shared" si="2"/>
        <v>0.75</v>
      </c>
      <c r="F18" s="10">
        <f>SUM('2022 m. plano įgyvendinimas'!W76,'2022 m. plano įgyvendinimas'!W96,'2022 m. plano įgyvendinimas'!W74,'2022 m. plano įgyvendinimas'!W137)</f>
        <v>120498</v>
      </c>
      <c r="G18" s="10">
        <f>SUM('2022 m. plano įgyvendinimas'!X76,'2022 m. plano įgyvendinimas'!X96,'2022 m. plano įgyvendinimas'!X74,'2022 m. plano įgyvendinimas'!X137)</f>
        <v>65872.84</v>
      </c>
      <c r="H18" s="31">
        <f t="shared" si="3"/>
        <v>0.54667164600242324</v>
      </c>
    </row>
    <row r="19" spans="1:9" ht="16.5" x14ac:dyDescent="0.25">
      <c r="A19" s="15" t="s">
        <v>1290</v>
      </c>
      <c r="B19" s="8">
        <v>1</v>
      </c>
      <c r="C19" s="47">
        <v>1</v>
      </c>
      <c r="D19" s="34">
        <f>'2022 m. plano įgyvendinimas'!AB144</f>
        <v>0</v>
      </c>
      <c r="E19" s="35">
        <f t="shared" si="2"/>
        <v>0</v>
      </c>
      <c r="F19" s="10">
        <f>'2022 m. plano įgyvendinimas'!W144</f>
        <v>25000</v>
      </c>
      <c r="G19" s="10">
        <f>'2022 m. plano įgyvendinimas'!X144</f>
        <v>0</v>
      </c>
      <c r="H19" s="31">
        <f t="shared" si="3"/>
        <v>0</v>
      </c>
      <c r="I19" s="36"/>
    </row>
    <row r="20" spans="1:9" ht="16.5" x14ac:dyDescent="0.25">
      <c r="A20" s="15" t="s">
        <v>1291</v>
      </c>
      <c r="B20" s="8">
        <v>5</v>
      </c>
      <c r="C20" s="47">
        <v>5</v>
      </c>
      <c r="D20" s="34">
        <f>SUM('2022 m. plano įgyvendinimas'!AB5,'2022 m. plano įgyvendinimas'!AB12,'2022 m. plano įgyvendinimas'!AB19,'2022 m. plano įgyvendinimas'!AB27,'2022 m. plano įgyvendinimas'!AB30)</f>
        <v>5</v>
      </c>
      <c r="E20" s="35">
        <f t="shared" si="2"/>
        <v>1</v>
      </c>
      <c r="F20" s="10">
        <f>'2022 m. plano įgyvendinimas'!W5+'2022 m. plano įgyvendinimas'!W12+'2022 m. plano įgyvendinimas'!W19+'2022 m. plano įgyvendinimas'!W27+'2022 m. plano įgyvendinimas'!W30</f>
        <v>1269181</v>
      </c>
      <c r="G20" s="10">
        <f>'2022 m. plano įgyvendinimas'!X5+'2022 m. plano įgyvendinimas'!X12+'2022 m. plano įgyvendinimas'!X19+'2022 m. plano įgyvendinimas'!X27+'2022 m. plano įgyvendinimas'!X30</f>
        <v>1267061.72</v>
      </c>
      <c r="H20" s="31">
        <f t="shared" si="3"/>
        <v>0.99833019876597584</v>
      </c>
    </row>
    <row r="21" spans="1:9" ht="16.5" x14ac:dyDescent="0.25">
      <c r="A21" s="15" t="s">
        <v>1292</v>
      </c>
      <c r="B21" s="8">
        <v>4</v>
      </c>
      <c r="C21" s="47">
        <v>4</v>
      </c>
      <c r="D21" s="34">
        <f>SUM('2022 m. plano įgyvendinimas'!AB123,'2022 m. plano įgyvendinimas'!AB153,'2022 m. plano įgyvendinimas'!AB150:AB152,'2022 m. plano įgyvendinimas'!AB156)</f>
        <v>1</v>
      </c>
      <c r="E21" s="35">
        <f t="shared" si="2"/>
        <v>0.25</v>
      </c>
      <c r="F21" s="10">
        <f>SUM('2022 m. plano įgyvendinimas'!W123,'2022 m. plano įgyvendinimas'!W153,'2022 m. plano įgyvendinimas'!W150,'2022 m. plano įgyvendinimas'!W156)</f>
        <v>198274</v>
      </c>
      <c r="G21" s="10">
        <f>SUM('2022 m. plano įgyvendinimas'!X123,'2022 m. plano įgyvendinimas'!X153,'2022 m. plano įgyvendinimas'!X150,'2022 m. plano įgyvendinimas'!X156)</f>
        <v>17462</v>
      </c>
      <c r="H21" s="31">
        <f t="shared" si="3"/>
        <v>8.8070044483896021E-2</v>
      </c>
    </row>
    <row r="22" spans="1:9" ht="16.5" x14ac:dyDescent="0.25">
      <c r="A22" s="15" t="s">
        <v>1293</v>
      </c>
      <c r="B22" s="8">
        <v>1</v>
      </c>
      <c r="C22" s="47">
        <v>1</v>
      </c>
      <c r="D22" s="34">
        <f>'2022 m. plano įgyvendinimas'!AB124</f>
        <v>1</v>
      </c>
      <c r="E22" s="35">
        <f t="shared" si="2"/>
        <v>1</v>
      </c>
      <c r="F22" s="10">
        <f>'2022 m. plano įgyvendinimas'!W124</f>
        <v>125000</v>
      </c>
      <c r="G22" s="10">
        <f>'2022 m. plano įgyvendinimas'!X124</f>
        <v>124363.8</v>
      </c>
      <c r="H22" s="31">
        <f t="shared" si="3"/>
        <v>0.99491039999999997</v>
      </c>
    </row>
    <row r="23" spans="1:9" ht="16.5" x14ac:dyDescent="0.25">
      <c r="A23" s="15" t="s">
        <v>1294</v>
      </c>
      <c r="B23" s="8">
        <v>2</v>
      </c>
      <c r="C23" s="47">
        <v>2</v>
      </c>
      <c r="D23" s="34">
        <f>'2022 m. plano įgyvendinimas'!AB32+'2022 m. plano įgyvendinimas'!AB75</f>
        <v>1</v>
      </c>
      <c r="E23" s="35">
        <f t="shared" si="2"/>
        <v>0.5</v>
      </c>
      <c r="F23" s="10">
        <f>'2022 m. plano įgyvendinimas'!W32+'2022 m. plano įgyvendinimas'!W75</f>
        <v>170000</v>
      </c>
      <c r="G23" s="10">
        <f>'2022 m. plano įgyvendinimas'!X32+'2022 m. plano įgyvendinimas'!X75</f>
        <v>61782.929999999993</v>
      </c>
      <c r="H23" s="31">
        <f t="shared" si="3"/>
        <v>0.36342899999999995</v>
      </c>
    </row>
    <row r="24" spans="1:9" ht="17.25" customHeight="1" x14ac:dyDescent="0.25">
      <c r="A24" s="15" t="s">
        <v>1295</v>
      </c>
      <c r="B24" s="8">
        <v>2</v>
      </c>
      <c r="C24" s="47">
        <v>2</v>
      </c>
      <c r="D24" s="34">
        <f>'2022 m. plano įgyvendinimas'!AB71+'2022 m. plano įgyvendinimas'!AB127</f>
        <v>1</v>
      </c>
      <c r="E24" s="35">
        <f t="shared" si="2"/>
        <v>0.5</v>
      </c>
      <c r="F24" s="10">
        <f>SUM('2022 m. plano įgyvendinimas'!W71,'2022 m. plano įgyvendinimas'!W127)</f>
        <v>1526000</v>
      </c>
      <c r="G24" s="10">
        <f>SUM('2022 m. plano įgyvendinimas'!X71,'2022 m. plano įgyvendinimas'!X127)</f>
        <v>283556.13</v>
      </c>
      <c r="H24" s="31">
        <f t="shared" si="3"/>
        <v>0.18581659895150721</v>
      </c>
    </row>
    <row r="25" spans="1:9" ht="16.5" x14ac:dyDescent="0.25">
      <c r="A25" s="15" t="s">
        <v>1296</v>
      </c>
      <c r="B25" s="8">
        <v>7</v>
      </c>
      <c r="C25" s="47">
        <v>7</v>
      </c>
      <c r="D25" s="34">
        <f>SUM('2022 m. plano įgyvendinimas'!AB43,'2022 m. plano įgyvendinimas'!AB83,'2022 m. plano įgyvendinimas'!AB93,'2022 m. plano įgyvendinimas'!AB100,'2022 m. plano įgyvendinimas'!AB106,'2022 m. plano įgyvendinimas'!AB114,'2022 m. plano įgyvendinimas'!AB119)</f>
        <v>2</v>
      </c>
      <c r="E25" s="35">
        <f t="shared" si="2"/>
        <v>0.2857142857142857</v>
      </c>
      <c r="F25" s="10">
        <f>SUM('2022 m. plano įgyvendinimas'!W43,'2022 m. plano įgyvendinimas'!W83,'2022 m. plano įgyvendinimas'!W93,'2022 m. plano įgyvendinimas'!W100,'2022 m. plano įgyvendinimas'!W106,'2022 m. plano įgyvendinimas'!W114,'2022 m. plano įgyvendinimas'!W119)</f>
        <v>420000</v>
      </c>
      <c r="G25" s="10">
        <f>SUM('2022 m. plano įgyvendinimas'!X43,'2022 m. plano įgyvendinimas'!X83:X84,'2022 m. plano įgyvendinimas'!X93,'2022 m. plano įgyvendinimas'!X100:X101,'2022 m. plano įgyvendinimas'!X106:X107,'2022 m. plano įgyvendinimas'!X114:X115,'2022 m. plano įgyvendinimas'!X119)</f>
        <v>157353.28</v>
      </c>
      <c r="H25" s="31">
        <f t="shared" si="3"/>
        <v>0.37465066666666669</v>
      </c>
    </row>
    <row r="26" spans="1:9" ht="16.5" x14ac:dyDescent="0.25">
      <c r="A26" s="15" t="s">
        <v>1297</v>
      </c>
      <c r="B26" s="8">
        <v>2</v>
      </c>
      <c r="C26" s="47">
        <v>2</v>
      </c>
      <c r="D26" s="32">
        <f>SUM('2022 m. plano įgyvendinimas'!AB59,'2022 m. plano įgyvendinimas'!AB159)</f>
        <v>1.2477247597395886</v>
      </c>
      <c r="E26" s="33">
        <f>1/2</f>
        <v>0.5</v>
      </c>
      <c r="F26" s="9">
        <f>SUM('2022 m. plano įgyvendinimas'!W59,'2022 m. plano įgyvendinimas'!W159)</f>
        <v>325072</v>
      </c>
      <c r="G26" s="9">
        <f>SUM('2022 m. plano įgyvendinimas'!X59,'2022 m. plano įgyvendinimas'!X159)</f>
        <v>127415.01</v>
      </c>
      <c r="H26" s="31">
        <f t="shared" si="3"/>
        <v>0.39195935054387948</v>
      </c>
    </row>
    <row r="27" spans="1:9" ht="16.5" x14ac:dyDescent="0.25">
      <c r="A27" s="15" t="s">
        <v>1298</v>
      </c>
      <c r="B27" s="8">
        <v>1</v>
      </c>
      <c r="C27" s="47">
        <v>1</v>
      </c>
      <c r="D27" s="34">
        <f>'2022 m. plano įgyvendinimas'!AB134</f>
        <v>1</v>
      </c>
      <c r="E27" s="35">
        <f t="shared" ref="E27:E36" si="4">D27/C27</f>
        <v>1</v>
      </c>
      <c r="F27" s="10">
        <f>'2022 m. plano įgyvendinimas'!W134</f>
        <v>121000</v>
      </c>
      <c r="G27" s="10">
        <f>'2022 m. plano įgyvendinimas'!X134</f>
        <v>120974.81</v>
      </c>
      <c r="H27" s="31">
        <f t="shared" si="3"/>
        <v>0.99979181818181817</v>
      </c>
    </row>
    <row r="28" spans="1:9" ht="16.5" x14ac:dyDescent="0.25">
      <c r="A28" s="15" t="s">
        <v>272</v>
      </c>
      <c r="B28" s="8">
        <v>3</v>
      </c>
      <c r="C28" s="47">
        <v>3</v>
      </c>
      <c r="D28" s="34">
        <f>SUM('2022 m. plano įgyvendinimas'!AB37,'2022 m. plano įgyvendinimas'!AB91,'2022 m. plano įgyvendinimas'!AB125)</f>
        <v>3</v>
      </c>
      <c r="E28" s="35">
        <f t="shared" si="4"/>
        <v>1</v>
      </c>
      <c r="F28" s="10">
        <f>SUM('2022 m. plano įgyvendinimas'!W37,'2022 m. plano įgyvendinimas'!W91,'2022 m. plano įgyvendinimas'!W125)</f>
        <v>345700</v>
      </c>
      <c r="G28" s="10">
        <f>SUM('2022 m. plano įgyvendinimas'!X37,'2022 m. plano įgyvendinimas'!X91,'2022 m. plano įgyvendinimas'!X125)</f>
        <v>223674.53999999998</v>
      </c>
      <c r="H28" s="31">
        <f t="shared" si="3"/>
        <v>0.64701920740526464</v>
      </c>
    </row>
    <row r="29" spans="1:9" ht="16.5" x14ac:dyDescent="0.25">
      <c r="A29" s="15" t="s">
        <v>406</v>
      </c>
      <c r="B29" s="8">
        <v>3</v>
      </c>
      <c r="C29" s="47">
        <v>3</v>
      </c>
      <c r="D29" s="34">
        <f>SUM('2022 m. plano įgyvendinimas'!AB51,'2022 m. plano įgyvendinimas'!AB157,'2022 m. plano įgyvendinimas'!AB104)</f>
        <v>3</v>
      </c>
      <c r="E29" s="35">
        <f t="shared" si="4"/>
        <v>1</v>
      </c>
      <c r="F29" s="10">
        <f>SUM('2022 m. plano įgyvendinimas'!W51,'2022 m. plano įgyvendinimas'!W157,'2022 m. plano įgyvendinimas'!W104)</f>
        <v>332512.55</v>
      </c>
      <c r="G29" s="10">
        <f>SUM('2022 m. plano įgyvendinimas'!X51,'2022 m. plano įgyvendinimas'!X157,'2022 m. plano įgyvendinimas'!X104)</f>
        <v>277628.84999999998</v>
      </c>
      <c r="H29" s="31">
        <f t="shared" si="3"/>
        <v>0.83494247059246329</v>
      </c>
    </row>
    <row r="30" spans="1:9" ht="16.5" x14ac:dyDescent="0.25">
      <c r="A30" s="15" t="s">
        <v>533</v>
      </c>
      <c r="B30" s="8">
        <v>2</v>
      </c>
      <c r="C30" s="47">
        <v>2</v>
      </c>
      <c r="D30" s="34">
        <f>SUM('2022 m. plano įgyvendinimas'!AB66:AB66,'2022 m. plano įgyvendinimas'!AB98)</f>
        <v>2</v>
      </c>
      <c r="E30" s="35">
        <f t="shared" si="4"/>
        <v>1</v>
      </c>
      <c r="F30" s="10">
        <f>SUM('2022 m. plano įgyvendinimas'!W66,'2022 m. plano įgyvendinimas'!W98:W99)</f>
        <v>48358</v>
      </c>
      <c r="G30" s="10">
        <f>SUM('2022 m. plano įgyvendinimas'!X66:X66,'2022 m. plano įgyvendinimas'!X98:X99)</f>
        <v>47813.59</v>
      </c>
      <c r="H30" s="31">
        <f t="shared" si="3"/>
        <v>0.98874209024359971</v>
      </c>
    </row>
    <row r="31" spans="1:9" ht="16.5" x14ac:dyDescent="0.25">
      <c r="A31" s="15" t="s">
        <v>731</v>
      </c>
      <c r="B31" s="8">
        <v>3</v>
      </c>
      <c r="C31" s="47">
        <v>3</v>
      </c>
      <c r="D31" s="34">
        <f>SUM('2022 m. plano įgyvendinimas'!AB44,'2022 m. plano įgyvendinimas'!AB90,'2022 m. plano įgyvendinimas'!AB122)</f>
        <v>3</v>
      </c>
      <c r="E31" s="35">
        <f t="shared" si="4"/>
        <v>1</v>
      </c>
      <c r="F31" s="10">
        <f>'2022 m. plano įgyvendinimas'!W44+'2022 m. plano įgyvendinimas'!W122+'2022 m. plano įgyvendinimas'!W90</f>
        <v>72289</v>
      </c>
      <c r="G31" s="10">
        <f>'2022 m. plano įgyvendinimas'!X44+'2022 m. plano įgyvendinimas'!X122+'2022 m. plano įgyvendinimas'!X90</f>
        <v>28710.2</v>
      </c>
      <c r="H31" s="31">
        <f t="shared" si="3"/>
        <v>0.39715862717702555</v>
      </c>
    </row>
    <row r="32" spans="1:9" ht="16.5" x14ac:dyDescent="0.25">
      <c r="A32" s="15" t="s">
        <v>1299</v>
      </c>
      <c r="B32" s="8">
        <v>5</v>
      </c>
      <c r="C32" s="47">
        <v>5</v>
      </c>
      <c r="D32" s="34">
        <f>'2022 m. plano įgyvendinimas'!AB63+'2022 m. plano įgyvendinimas'!AB79+'2022 m. plano įgyvendinimas'!AB97+'2022 m. plano įgyvendinimas'!AB141+'2022 m. plano įgyvendinimas'!AB149</f>
        <v>5</v>
      </c>
      <c r="E32" s="35">
        <f t="shared" si="4"/>
        <v>1</v>
      </c>
      <c r="F32" s="10">
        <f>'2022 m. plano įgyvendinimas'!W63+'2022 m. plano įgyvendinimas'!W79+'2022 m. plano įgyvendinimas'!W97+'2022 m. plano įgyvendinimas'!W141+'2022 m. plano įgyvendinimas'!W149</f>
        <v>238841</v>
      </c>
      <c r="G32" s="10">
        <f>'2022 m. plano įgyvendinimas'!X63+'2022 m. plano įgyvendinimas'!X79+'2022 m. plano įgyvendinimas'!X97+'2022 m. plano įgyvendinimas'!X141+'2022 m. plano įgyvendinimas'!X149</f>
        <v>219258.77999999997</v>
      </c>
      <c r="H32" s="31">
        <f t="shared" si="3"/>
        <v>0.9180114804409627</v>
      </c>
    </row>
    <row r="33" spans="1:8" ht="16.5" x14ac:dyDescent="0.25">
      <c r="A33" s="15" t="s">
        <v>549</v>
      </c>
      <c r="B33" s="8">
        <v>2</v>
      </c>
      <c r="C33" s="47">
        <v>2</v>
      </c>
      <c r="D33" s="34">
        <f>SUM('2022 m. plano įgyvendinimas'!AB67,'2022 m. plano įgyvendinimas'!AB81)</f>
        <v>0</v>
      </c>
      <c r="E33" s="35">
        <f t="shared" si="4"/>
        <v>0</v>
      </c>
      <c r="F33" s="10">
        <f>SUM('2022 m. plano įgyvendinimas'!W67,'2022 m. plano įgyvendinimas'!W81)</f>
        <v>86000</v>
      </c>
      <c r="G33" s="10">
        <f>SUM('2022 m. plano įgyvendinimas'!X67,'2022 m. plano įgyvendinimas'!X81)</f>
        <v>0</v>
      </c>
      <c r="H33" s="31">
        <f t="shared" si="3"/>
        <v>0</v>
      </c>
    </row>
    <row r="34" spans="1:8" ht="16.5" x14ac:dyDescent="0.25">
      <c r="A34" s="15" t="s">
        <v>567</v>
      </c>
      <c r="B34" s="8">
        <v>1</v>
      </c>
      <c r="C34" s="47">
        <v>1</v>
      </c>
      <c r="D34" s="34">
        <f>'2022 m. plano įgyvendinimas'!AB69</f>
        <v>1</v>
      </c>
      <c r="E34" s="35">
        <f t="shared" si="4"/>
        <v>1</v>
      </c>
      <c r="F34" s="10">
        <f>'2022 m. plano įgyvendinimas'!W69</f>
        <v>4000</v>
      </c>
      <c r="G34" s="10">
        <f>'2022 m. plano įgyvendinimas'!X69</f>
        <v>4513.3</v>
      </c>
      <c r="H34" s="31">
        <f t="shared" si="3"/>
        <v>1.128325</v>
      </c>
    </row>
    <row r="35" spans="1:8" ht="16.5" x14ac:dyDescent="0.25">
      <c r="A35" s="15" t="s">
        <v>1300</v>
      </c>
      <c r="B35" s="8">
        <v>1</v>
      </c>
      <c r="C35" s="47">
        <v>1</v>
      </c>
      <c r="D35" s="34">
        <f>'2022 m. plano įgyvendinimas'!AB72</f>
        <v>1</v>
      </c>
      <c r="E35" s="35">
        <f t="shared" si="4"/>
        <v>1</v>
      </c>
      <c r="F35" s="10">
        <f>'2022 m. plano įgyvendinimas'!W72</f>
        <v>230000</v>
      </c>
      <c r="G35" s="10">
        <f>'2022 m. plano įgyvendinimas'!X72</f>
        <v>210572.65</v>
      </c>
      <c r="H35" s="31">
        <f t="shared" si="3"/>
        <v>0.91553326086956521</v>
      </c>
    </row>
    <row r="36" spans="1:8" ht="14.25" customHeight="1" x14ac:dyDescent="0.25">
      <c r="A36" s="16" t="s">
        <v>1301</v>
      </c>
      <c r="B36" s="17">
        <f>SUM(B17:B35)</f>
        <v>50</v>
      </c>
      <c r="C36" s="17">
        <f>SUM(C17:C35)</f>
        <v>50</v>
      </c>
      <c r="D36" s="19">
        <f>SUM(D17:D35)</f>
        <v>35.24772475973959</v>
      </c>
      <c r="E36" s="18">
        <f t="shared" si="4"/>
        <v>0.70495449519479181</v>
      </c>
      <c r="F36" s="19">
        <f>SUM(F17:F35)</f>
        <v>5977725.5499999998</v>
      </c>
      <c r="G36" s="19">
        <f>SUM(G17:G35)</f>
        <v>3546581.209999999</v>
      </c>
      <c r="H36" s="18">
        <f t="shared" si="3"/>
        <v>0.59329943811154051</v>
      </c>
    </row>
    <row r="37" spans="1:8" x14ac:dyDescent="0.25">
      <c r="F37" s="5"/>
      <c r="G37" s="5"/>
    </row>
    <row r="39" spans="1:8" x14ac:dyDescent="0.25">
      <c r="A39" s="24"/>
      <c r="B39" s="5"/>
    </row>
    <row r="42" spans="1:8" ht="16.5" x14ac:dyDescent="0.25">
      <c r="A42" s="25"/>
      <c r="B42" s="26"/>
      <c r="C42" s="26"/>
    </row>
    <row r="43" spans="1:8" ht="16.5" x14ac:dyDescent="0.25">
      <c r="A43" s="25"/>
      <c r="B43" s="26"/>
      <c r="C43" s="26"/>
    </row>
    <row r="44" spans="1:8" ht="16.5" x14ac:dyDescent="0.25">
      <c r="A44" s="25"/>
      <c r="B44" s="26"/>
      <c r="C44" s="26"/>
    </row>
    <row r="45" spans="1:8" ht="16.5" x14ac:dyDescent="0.25">
      <c r="A45" s="25"/>
      <c r="B45" s="26"/>
      <c r="C45" s="26"/>
    </row>
    <row r="46" spans="1:8" ht="16.5" x14ac:dyDescent="0.25">
      <c r="A46" s="25"/>
      <c r="B46" s="26"/>
      <c r="C46" s="26"/>
    </row>
    <row r="47" spans="1:8" ht="16.5" x14ac:dyDescent="0.25">
      <c r="A47" s="25"/>
      <c r="B47" s="26"/>
      <c r="C47" s="26"/>
    </row>
    <row r="48" spans="1:8" ht="16.5" x14ac:dyDescent="0.25">
      <c r="A48" s="25"/>
      <c r="B48" s="26"/>
      <c r="C48" s="26"/>
    </row>
    <row r="49" spans="1:3" ht="16.5" x14ac:dyDescent="0.25">
      <c r="A49" s="25"/>
      <c r="B49" s="26"/>
      <c r="C49" s="26"/>
    </row>
    <row r="50" spans="1:3" ht="16.5" x14ac:dyDescent="0.25">
      <c r="A50" s="25"/>
      <c r="B50" s="26"/>
      <c r="C50" s="26"/>
    </row>
    <row r="51" spans="1:3" ht="16.5" x14ac:dyDescent="0.25">
      <c r="A51" s="25"/>
      <c r="B51" s="26"/>
      <c r="C51" s="26"/>
    </row>
    <row r="52" spans="1:3" ht="16.5" x14ac:dyDescent="0.25">
      <c r="A52" s="25"/>
      <c r="B52" s="26"/>
      <c r="C52" s="26"/>
    </row>
    <row r="53" spans="1:3" ht="16.5" x14ac:dyDescent="0.25">
      <c r="A53" s="25"/>
      <c r="B53" s="26"/>
      <c r="C53" s="26"/>
    </row>
    <row r="54" spans="1:3" ht="16.5" x14ac:dyDescent="0.25">
      <c r="A54" s="25"/>
      <c r="B54" s="26"/>
      <c r="C54" s="26"/>
    </row>
    <row r="55" spans="1:3" ht="16.5" x14ac:dyDescent="0.25">
      <c r="A55" s="25"/>
      <c r="B55" s="26"/>
      <c r="C55" s="26"/>
    </row>
    <row r="56" spans="1:3" ht="16.5" x14ac:dyDescent="0.25">
      <c r="A56" s="25"/>
      <c r="B56" s="26"/>
      <c r="C56" s="26"/>
    </row>
    <row r="57" spans="1:3" ht="16.5" x14ac:dyDescent="0.25">
      <c r="A57" s="25"/>
      <c r="B57" s="26"/>
      <c r="C57" s="26"/>
    </row>
    <row r="58" spans="1:3" ht="16.5" x14ac:dyDescent="0.25">
      <c r="A58" s="25"/>
      <c r="B58" s="26"/>
      <c r="C58" s="26"/>
    </row>
    <row r="59" spans="1:3" ht="16.5" x14ac:dyDescent="0.25">
      <c r="A59" s="25"/>
      <c r="B59" s="26"/>
      <c r="C59" s="26"/>
    </row>
  </sheetData>
  <sortState ref="A43:C59">
    <sortCondition ref="A43:A59"/>
  </sortState>
  <pageMargins left="1" right="1" top="1" bottom="1" header="0.5" footer="0.5"/>
  <pageSetup paperSize="9" scale="60" orientation="landscape" r:id="rId1"/>
  <ignoredErrors>
    <ignoredError sqref="D3:D12 F2:F4 F7:F8 F10:F11 G2:G11 G25 F30:G30" formulaRange="1"/>
    <ignoredError sqref="E36 E13 E2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2E86E6414D25449600E5AD004D898B" ma:contentTypeVersion="2" ma:contentTypeDescription="Create a new document." ma:contentTypeScope="" ma:versionID="92854888345090a6422d98df3c8b818d">
  <xsd:schema xmlns:xsd="http://www.w3.org/2001/XMLSchema" xmlns:xs="http://www.w3.org/2001/XMLSchema" xmlns:p="http://schemas.microsoft.com/office/2006/metadata/properties" xmlns:ns2="6f5767fe-8727-436c-8253-c10cd30d6bed" targetNamespace="http://schemas.microsoft.com/office/2006/metadata/properties" ma:root="true" ma:fieldsID="58a119e50fa3ff682c5f935798cffbbc" ns2:_="">
    <xsd:import namespace="6f5767fe-8727-436c-8253-c10cd30d6be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767fe-8727-436c-8253-c10cd30d6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E93C7A-4729-4AAE-98E9-FD3B52F1AB0F}">
  <ds:schemaRefs>
    <ds:schemaRef ds:uri="6f5767fe-8727-436c-8253-c10cd30d6bed"/>
    <ds:schemaRef ds:uri="http://schemas.openxmlformats.org/package/2006/metadata/core-properties"/>
    <ds:schemaRef ds:uri="http://purl.org/dc/term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C037DB65-0B71-4F32-9128-1EC231482B6A}">
  <ds:schemaRefs>
    <ds:schemaRef ds:uri="http://schemas.microsoft.com/sharepoint/v3/contenttype/forms"/>
  </ds:schemaRefs>
</ds:datastoreItem>
</file>

<file path=customXml/itemProps3.xml><?xml version="1.0" encoding="utf-8"?>
<ds:datastoreItem xmlns:ds="http://schemas.openxmlformats.org/officeDocument/2006/customXml" ds:itemID="{7D8C1897-F4AC-42D2-AC95-16DDD8C7C8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767fe-8727-436c-8253-c10cd30d6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2022 m. plano įgyvendinimas</vt:lpstr>
      <vt:lpstr>Apibendrinimas</vt:lpstr>
      <vt:lpstr>'2022 m. plano įgyvendinimas'!Print_Area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Aidietienė</dc:creator>
  <cp:lastModifiedBy>Edita Petrauskaitė</cp:lastModifiedBy>
  <cp:revision/>
  <dcterms:created xsi:type="dcterms:W3CDTF">2016-08-11T06:39:30Z</dcterms:created>
  <dcterms:modified xsi:type="dcterms:W3CDTF">2023-04-25T05:38:07Z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0x0101007A2E86E6414D25449600E5AD004D898B</vt:lpwstr>
  </property>
</Properties>
</file>