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210" windowWidth="15600" windowHeight="11700"/>
  </bookViews>
  <sheets>
    <sheet name="Lapas1" sheetId="1" r:id="rId1"/>
  </sheets>
  <definedNames>
    <definedName name="_xlnm.Print_Area" localSheetId="0">Lapas1!$A$1:$N$49</definedName>
  </definedNames>
  <calcPr calcId="145621"/>
</workbook>
</file>

<file path=xl/calcChain.xml><?xml version="1.0" encoding="utf-8"?>
<calcChain xmlns="http://schemas.openxmlformats.org/spreadsheetml/2006/main">
  <c r="G36" i="1" l="1"/>
  <c r="G43" i="1"/>
  <c r="F43" i="1" s="1"/>
  <c r="J43" i="1"/>
  <c r="L18" i="1"/>
  <c r="G18" i="1"/>
  <c r="L41" i="1"/>
  <c r="G41" i="1"/>
  <c r="L40" i="1"/>
  <c r="G40" i="1"/>
  <c r="J39" i="1"/>
  <c r="G39" i="1"/>
  <c r="L38" i="1"/>
  <c r="G38" i="1"/>
  <c r="J37" i="1"/>
  <c r="G37" i="1"/>
  <c r="L35" i="1"/>
  <c r="G35" i="1"/>
  <c r="J34" i="1"/>
  <c r="G34" i="1"/>
  <c r="L33" i="1"/>
  <c r="G33" i="1"/>
  <c r="J32" i="1"/>
  <c r="G32" i="1"/>
  <c r="J31" i="1"/>
  <c r="G31" i="1"/>
  <c r="L30" i="1"/>
  <c r="G30" i="1"/>
  <c r="L29" i="1"/>
  <c r="G29" i="1"/>
  <c r="L28" i="1"/>
  <c r="G28" i="1"/>
  <c r="J26" i="1"/>
  <c r="G26" i="1"/>
  <c r="J24" i="1"/>
  <c r="G24" i="1"/>
  <c r="L22" i="1"/>
  <c r="J23" i="1"/>
  <c r="G23" i="1"/>
  <c r="G22" i="1"/>
  <c r="J21" i="1"/>
  <c r="G21" i="1"/>
  <c r="J20" i="1"/>
  <c r="J44" i="1" s="1"/>
  <c r="G20" i="1"/>
  <c r="L19" i="1"/>
  <c r="G19" i="1"/>
  <c r="L17" i="1"/>
  <c r="G17" i="1"/>
  <c r="F17" i="1" l="1"/>
  <c r="F22" i="1"/>
  <c r="F24" i="1"/>
  <c r="F26" i="1"/>
  <c r="F28" i="1"/>
  <c r="F29" i="1"/>
  <c r="F30" i="1"/>
  <c r="F31" i="1"/>
  <c r="F32" i="1"/>
  <c r="F33" i="1"/>
  <c r="F34" i="1"/>
  <c r="F35" i="1"/>
  <c r="F37" i="1"/>
  <c r="F38" i="1"/>
  <c r="F39" i="1"/>
  <c r="F40" i="1"/>
  <c r="F41" i="1"/>
  <c r="F18" i="1"/>
  <c r="F44" i="1" s="1"/>
  <c r="F19" i="1"/>
  <c r="F20" i="1"/>
  <c r="F21" i="1"/>
  <c r="F23" i="1"/>
  <c r="G44" i="1"/>
  <c r="L44" i="1"/>
  <c r="K44" i="1"/>
  <c r="I44" i="1"/>
  <c r="H44" i="1"/>
</calcChain>
</file>

<file path=xl/comments1.xml><?xml version="1.0" encoding="utf-8"?>
<comments xmlns="http://schemas.openxmlformats.org/spreadsheetml/2006/main">
  <authors>
    <author>k.trakniene</author>
  </authors>
  <commentList>
    <comment ref="C39" authorId="0">
      <text>
        <r>
          <rPr>
            <b/>
            <sz val="9"/>
            <color indexed="81"/>
            <rFont val="Tahoma"/>
            <family val="2"/>
            <charset val="186"/>
          </rPr>
          <t>k.trakniene:</t>
        </r>
        <r>
          <rPr>
            <sz val="9"/>
            <color indexed="81"/>
            <rFont val="Tahoma"/>
            <family val="2"/>
            <charset val="186"/>
          </rPr>
          <t xml:space="preserve">
Patikslintas pavadinimas, t.y. išimtas žodis "renovacija"</t>
        </r>
      </text>
    </comment>
  </commentList>
</comments>
</file>

<file path=xl/sharedStrings.xml><?xml version="1.0" encoding="utf-8"?>
<sst xmlns="http://schemas.openxmlformats.org/spreadsheetml/2006/main" count="133" uniqueCount="109">
  <si>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</si>
  <si>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</si>
  <si>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</si>
  <si>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</si>
  <si>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</si>
  <si>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</si>
  <si>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</si>
  <si>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</si>
  <si>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</si>
  <si>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 xml:space="preserve">LIETUVOS RESPUBLIKOS APLINKOS MINISTERIJA </t>
  </si>
  <si>
    <t>Iš ES struktūrinių fondų lėšų siūlomo bendrai finansuoti projekto (toliau – projektas) preliminarus pavadinimas</t>
  </si>
  <si>
    <t>Preliminari projekto tinkamų finansuoti išlaidų suma (eurais)</t>
  </si>
  <si>
    <t>Iš viso</t>
  </si>
  <si>
    <t>ES struktūrinių fondų lėšos</t>
  </si>
  <si>
    <t xml:space="preserve">Lietuvos Respublikos valstybės biudžeto lėšos
</t>
  </si>
  <si>
    <t>Pareiškėjo ir partnerio (-ių) lėšos</t>
  </si>
  <si>
    <t xml:space="preserve">Lietuvos Respublikos valstybės biudžeto lėšos
 </t>
  </si>
  <si>
    <t xml:space="preserve">Savivaldybės biudžeto lėšos 
</t>
  </si>
  <si>
    <t xml:space="preserve">Kitos viešosios lėšos
</t>
  </si>
  <si>
    <t>Privačios lėšos</t>
  </si>
  <si>
    <t>1.</t>
  </si>
  <si>
    <t>2.</t>
  </si>
  <si>
    <t>3.</t>
  </si>
  <si>
    <t>4.</t>
  </si>
  <si>
    <t>5.</t>
  </si>
  <si>
    <t>6.</t>
  </si>
  <si>
    <t>7.</t>
  </si>
  <si>
    <t xml:space="preserve">IŠ EUROPOS SĄJUNGOS STRUKTŪRINIŲ FONDŲ LĖŠŲ SIŪLOMŲ BENDRAI FINANSUOTI  </t>
  </si>
  <si>
    <t>UAB „Aukštaitijos vandenys“</t>
  </si>
  <si>
    <t>Vandens tiekimo ir nuotekų tvarkymo infrastruktūros plėtra Panevėžio mieste ir rajone (Garuckų k. Ramygalos sen. ir Ramygalos m.)</t>
  </si>
  <si>
    <t>UAB „Dzūkijos vandenys“</t>
  </si>
  <si>
    <t>Alytaus vandens gerinimo įrenginių rekonstrukcija</t>
  </si>
  <si>
    <t>UAB „Jonavos vandenys“</t>
  </si>
  <si>
    <t>Vandens gerinimo įrenginių rekonstrukcija Jonavoje</t>
  </si>
  <si>
    <t>UAB „Kazlų Rūdos komunalininkas“</t>
  </si>
  <si>
    <t>Vandens tiekimo ir nuotekų tvarkymo infrastruktūros plėtra Kazlų Rūdos mieste ir Jūrės kaime</t>
  </si>
  <si>
    <t>UAB „Kėdainių vandenys“</t>
  </si>
  <si>
    <t>Naujų vandentiekio ir nuotekų tinklų plėtra Paobelyje</t>
  </si>
  <si>
    <t>AB „Klaipėdos vanduo“</t>
  </si>
  <si>
    <t>Vandens tiekimo ir nuotekų tvarkymo infrastruktūros plėtra Klaipėdos mieste ir rajone (Priekulėje, Mickuose, Dituvoje, Kuodžiuose, Agluonėnuose, Stragnuose II, Dauparuose, Šlapšilėje, Gobergiškėje, Jonušuose)</t>
  </si>
  <si>
    <t>UAB „Kupiškio vandenys“</t>
  </si>
  <si>
    <t>Kupiškio miesto vandens gerinimo įrenginių nauja statyba</t>
  </si>
  <si>
    <t>UAB „Kuršėnų vandenys“</t>
  </si>
  <si>
    <t>Vandentiekio ir nuotekų tinklų plėtra Kuršėnuose (III statybos eilės užbaigiamieji darbai)</t>
  </si>
  <si>
    <t>UAB „Lazdijų vanduo“</t>
  </si>
  <si>
    <t>Vandens tiekimo ir nuotekų tvarkymo infrastruktūros plėtra Lazdijų mieste ir rajone (Šeštokuose ir Veisiejuose)</t>
  </si>
  <si>
    <t>UAB „Nemenčinės komunalininkas“</t>
  </si>
  <si>
    <t>Vandens tiekimo ir nuotekų tvarkymo infrastruktūros plėtra Vilniaus rajone (Paberžėje ir Anavilyje)</t>
  </si>
  <si>
    <t>VALSTYBĖS PROJEKTŲ SĄRAŠAS NR.1</t>
  </si>
  <si>
    <t>Užtikrinti gyventojams kokybišką geriamojo vandens tiekimą ir nuotekų tvarkymą</t>
  </si>
  <si>
    <t>Užtikrinti gyventojams kokybišką geriamąjį vandenį</t>
  </si>
  <si>
    <t>8.</t>
  </si>
  <si>
    <t>9.</t>
  </si>
  <si>
    <t>11.</t>
  </si>
  <si>
    <t>12.</t>
  </si>
  <si>
    <t>13.</t>
  </si>
  <si>
    <t>14.</t>
  </si>
  <si>
    <t>UAB „Pakruojo vandentiekis“</t>
  </si>
  <si>
    <t>UAB „Pasvalio vandenys“</t>
  </si>
  <si>
    <t>UAB „Prienų vandenys“</t>
  </si>
  <si>
    <t>UAB „Radviliškio vanduo“</t>
  </si>
  <si>
    <t>UAB „Nemėžio komunalininkas“</t>
  </si>
  <si>
    <t>Vandens tiekimo ir nuotekų tvarkymo infrastruktūros plėtra Vilniaus rajone (Skaidiškėse, Marijampolyje ir Rūkainiuose)</t>
  </si>
  <si>
    <t>Vandens tiekimo ir nuotekų tvarkymo infrastruktūros plėtra Pakruojo rajone (Pakruojyje, Klovainiuose, Sigutėnuose, Linkuvoje)</t>
  </si>
  <si>
    <t>Vandentiekio ir nuotekų tinklų plėtra Pumpėnų miestelyje, Pasvalio rajone</t>
  </si>
  <si>
    <t>Vandentiekio ir nuotekų tinklų plėtra Prienų rajone (Balbieriškyje) II etapas</t>
  </si>
  <si>
    <t>Radviliškio miesto vandens gerinimo įrenginių rekonstrukcija</t>
  </si>
  <si>
    <t xml:space="preserve">Užtikrinti gyventojams kokybišką geriamąjį vandenį </t>
  </si>
  <si>
    <t>15.</t>
  </si>
  <si>
    <t>16.</t>
  </si>
  <si>
    <t>17.</t>
  </si>
  <si>
    <t>18.</t>
  </si>
  <si>
    <t>19.</t>
  </si>
  <si>
    <t>UAB „Rokiškio vandenys“</t>
  </si>
  <si>
    <t>Vandens gerinimo įrenginių rekonstrukcija Rokiškyje</t>
  </si>
  <si>
    <t>UAB „Sūduvos vandenys“</t>
  </si>
  <si>
    <t>Vandens tiekimo ir nuotekų tvarkymo infrastruktūros plėtra Marijampolės savivaldybėje (Šunskuose)</t>
  </si>
  <si>
    <t>UAB „Šiaulių vandenys“</t>
  </si>
  <si>
    <t xml:space="preserve">Lepšių vandenvietės rekonstrukcija ir vandens gerinimo įrenginių statyba </t>
  </si>
  <si>
    <t>UAB „Šilalės vandenys“</t>
  </si>
  <si>
    <t>Vandentiekio ir nuotekų tinklų plėtra Šilalės rajone (Pajūryje)</t>
  </si>
  <si>
    <t>20.</t>
  </si>
  <si>
    <t>UAB „Raseinių vandenys“</t>
  </si>
  <si>
    <t>Vandentiekio ir nuotekų tvarkymo infrastruktūros plėtra Vilkupio, Birutės, Pašvaistės, T. Vaižganto, Vėtrungės, Mažosios, V. Grybo, Ančakių gatvėse Raseinių mieste</t>
  </si>
  <si>
    <t>21.</t>
  </si>
  <si>
    <t>22.</t>
  </si>
  <si>
    <t>23.</t>
  </si>
  <si>
    <t>24.</t>
  </si>
  <si>
    <t>UAB „Tauragės vandenys“</t>
  </si>
  <si>
    <t>Vandentiekio stoties Šlaito g. 2, Tauragėje rekonstravimas</t>
  </si>
  <si>
    <t>UAB „Varėnos vandenys“</t>
  </si>
  <si>
    <t>Vandens tiekimo ir nuotekų tvarkymo infrastruktūros plėtra Varėnos rajone (Naujuosiuose Valkininkuose)</t>
  </si>
  <si>
    <t>VšĮ Velžio komunalinis ūkis</t>
  </si>
  <si>
    <t>Vandens tiekimo ir nuotekų tvarkymo infrastruktūros plėtra Panevėžio rajone (Krekenavoje) II etapas</t>
  </si>
  <si>
    <t>UAB „Vilkaviškio vandenys“</t>
  </si>
  <si>
    <t>Vandens tiekimo ir nuotekų tvarkymo infrastruktūros plėtra Pilviškių gyvenvietėje II etapas</t>
  </si>
  <si>
    <t>UAB „Vilniaus vandenys“</t>
  </si>
  <si>
    <t>Vandens tiekimo ir nuotekų tvarkymo infrastruktūros plėtra Vilniaus mieste</t>
  </si>
  <si>
    <t>25.</t>
  </si>
  <si>
    <t>26.</t>
  </si>
  <si>
    <t>27.</t>
  </si>
  <si>
    <t>UAB „Anykščių vandenys“</t>
  </si>
  <si>
    <t>UAB „Kretingos vandenys“</t>
  </si>
  <si>
    <t>Vandens tiekimo ir nuotekų tvarkymo infrastruktūros plėtra Anykščių rajone (Troškūnuose, Smėlynėje, Vaidlonyse, Svėdasuose)</t>
  </si>
  <si>
    <t>Vandens tiekimo ir nuotekų tvarkymo infrastruktūros plėtra Kretingos rajone (Jokūbave, Grūšlaukėje ir Salantuose)</t>
  </si>
  <si>
    <t>Paraiškos finansuoti projektą pateikimo įgyvendinančiajai institucijai terminas*</t>
  </si>
  <si>
    <t>* sąraše nurodytais terminais pateiktos paraiškos laikomos galiojančiomis</t>
  </si>
  <si>
    <t>2014–2020 METŲ EUROPOS SĄJUNGOS FONDŲ INVESTICIJŲ VEIKSMŲ PROGRAMOS 5 PRIORITETO „APLINKOSAUGA, GAMTOS IŠTEKLIŲ DARNUS NAUDOJIMAS IR PRISITAIKYMAS PRIE KLIMATO KAITOS“                                                                                                 05.3.2-APVA-V-013 PRIEMONĖS „GERIAMOJO VANDENS TIEKIMO IR NUOTEKŲ TVARKYMO ŪKIO GERINIMAS"</t>
  </si>
  <si>
    <t xml:space="preserve">PATVIRTINTA 
Lietuvos Respublikos aplinkos ministro 
2014 m. balandžio 11 d. įsakymu Nr. D1- 357                                              (Lietuvos Respublikos aplinkos ministro          2016 m. kovo 24 d. įsakymo Nr. D1-217 redakcija)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</si>
</sst>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.00\ _L_t_-;\-* #,##0.00\ _L_t_-;_-* &quot;-&quot;??\ _L_t_-;_-@_-"/>
    <numFmt numFmtId="165" formatCode="yyyy\-mm\-dd;@"/>
  </numFmts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i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1" applyFont="1"/>
    <xf numFmtId="0" fontId="9" fillId="0" borderId="0" xfId="0" applyFont="1"/>
    <xf numFmtId="0" fontId="2" fillId="0" borderId="0" xfId="0" applyFont="1"/>
    <xf numFmtId="0" fontId="2" fillId="0" borderId="1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wrapText="1"/>
    </xf>
    <xf numFmtId="0" fontId="5" fillId="0" borderId="0" xfId="0" applyFont="1"/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8" fillId="0" borderId="0" xfId="1" applyFont="1" applyAlignment="1">
      <alignment horizontal="left" wrapText="1"/>
    </xf>
    <xf numFmtId="14" fontId="8" fillId="0" borderId="0" xfId="1" applyNumberFormat="1" applyFont="1" applyAlignment="1">
      <alignment horizontal="center" wrapText="1"/>
    </xf>
    <xf numFmtId="0" fontId="2" fillId="3" borderId="0" xfId="0" applyFont="1" applyFill="1"/>
    <xf numFmtId="0" fontId="2" fillId="0" borderId="9" xfId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2" fillId="0" borderId="1" xfId="1" applyNumberFormat="1" applyFont="1" applyBorder="1" applyAlignment="1">
      <alignment horizontal="center" vertical="top" wrapText="1"/>
    </xf>
    <xf numFmtId="4" fontId="2" fillId="0" borderId="1" xfId="1" applyNumberFormat="1" applyFont="1" applyBorder="1" applyAlignment="1">
      <alignment horizontal="center" vertical="center"/>
    </xf>
    <xf numFmtId="0" fontId="9" fillId="0" borderId="11" xfId="0" applyFont="1" applyBorder="1"/>
    <xf numFmtId="0" fontId="2" fillId="0" borderId="1" xfId="0" applyFont="1" applyFill="1" applyBorder="1" applyAlignment="1">
      <alignment horizontal="left" vertical="center" wrapText="1"/>
    </xf>
    <xf numFmtId="164" fontId="2" fillId="0" borderId="6" xfId="2" applyNumberFormat="1" applyFont="1" applyFill="1" applyBorder="1" applyAlignment="1">
      <alignment horizontal="center" vertical="center" wrapText="1"/>
    </xf>
    <xf numFmtId="164" fontId="2" fillId="0" borderId="1" xfId="2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164" fontId="2" fillId="0" borderId="1" xfId="2" applyNumberFormat="1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 wrapText="1"/>
    </xf>
    <xf numFmtId="164" fontId="2" fillId="0" borderId="8" xfId="2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3" borderId="0" xfId="1" applyFont="1" applyFill="1" applyAlignment="1">
      <alignment horizontal="left" wrapText="1"/>
    </xf>
    <xf numFmtId="0" fontId="6" fillId="3" borderId="0" xfId="1" applyFont="1" applyFill="1" applyAlignment="1">
      <alignment horizontal="left" wrapText="1"/>
    </xf>
    <xf numFmtId="0" fontId="2" fillId="3" borderId="0" xfId="1" applyFont="1" applyFill="1"/>
    <xf numFmtId="0" fontId="2" fillId="3" borderId="1" xfId="1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/>
    <xf numFmtId="0" fontId="9" fillId="3" borderId="1" xfId="0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164" fontId="2" fillId="3" borderId="1" xfId="2" applyNumberFormat="1" applyFont="1" applyFill="1" applyBorder="1" applyAlignment="1">
      <alignment horizontal="center" vertical="center" wrapText="1"/>
    </xf>
    <xf numFmtId="4" fontId="2" fillId="3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164" fontId="2" fillId="3" borderId="1" xfId="2" applyNumberFormat="1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/>
    </xf>
    <xf numFmtId="0" fontId="7" fillId="0" borderId="0" xfId="1" applyFont="1" applyAlignment="1">
      <alignment horizont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right" vertical="center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1" applyFont="1" applyAlignment="1">
      <alignment horizontal="center" vertical="top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wrapText="1"/>
    </xf>
  </cellXfs>
  <cellStyles count="3">
    <cellStyle name="Comma" xfId="2" builtinId="3"/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7"/>
  <sheetViews>
    <sheetView tabSelected="1" topLeftCell="B40" zoomScale="85" zoomScaleNormal="85" workbookViewId="0">
      <selection activeCell="N1" sqref="N1"/>
    </sheetView>
  </sheetViews>
  <sheetFormatPr defaultRowHeight="12.75" x14ac:dyDescent="0.2"/>
  <cols>
    <col min="1" max="1" width="6.140625" style="2" customWidth="1"/>
    <col min="2" max="2" width="14.42578125" style="2" customWidth="1"/>
    <col min="3" max="3" width="16" style="2" customWidth="1"/>
    <col min="4" max="4" width="14.42578125" style="2" customWidth="1"/>
    <col min="5" max="5" width="13.5703125" style="2" customWidth="1"/>
    <col min="6" max="6" width="15" style="2" customWidth="1"/>
    <col min="7" max="7" width="15.5703125" style="2" customWidth="1"/>
    <col min="8" max="8" width="11.5703125" style="2" customWidth="1"/>
    <col min="9" max="9" width="11.7109375" style="2" customWidth="1"/>
    <col min="10" max="10" width="14.28515625" style="2" customWidth="1"/>
    <col min="11" max="11" width="11.7109375" style="2" customWidth="1"/>
    <col min="12" max="12" width="13.5703125" style="2" customWidth="1"/>
    <col min="13" max="13" width="15.140625" style="35" customWidth="1"/>
    <col min="14" max="14" width="40" style="35" customWidth="1"/>
    <col min="15" max="16384" width="9.140625" style="2"/>
  </cols>
  <sheetData>
    <row r="1" spans="1:14" ht="66" customHeight="1" x14ac:dyDescent="0.2">
      <c r="M1" s="30"/>
      <c r="N1" s="30" t="s">
        <v>108</v>
      </c>
    </row>
    <row r="2" spans="1:14" ht="16.5" customHeight="1" x14ac:dyDescent="0.2">
      <c r="M2" s="30"/>
      <c r="N2" s="30"/>
    </row>
    <row r="3" spans="1:14" ht="28.5" customHeight="1" x14ac:dyDescent="0.2">
      <c r="A3" s="60" t="s">
        <v>9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4" s="3" customFormat="1" ht="25.5" customHeight="1" x14ac:dyDescent="0.2">
      <c r="A4" s="59" t="s">
        <v>107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14" s="7" customFormat="1" ht="9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s="3" customFormat="1" ht="14.25" customHeight="1" x14ac:dyDescent="0.2">
      <c r="A6" s="46" t="s">
        <v>27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 ht="12" customHeight="1" x14ac:dyDescent="0.2">
      <c r="A7" s="46" t="s">
        <v>48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4" ht="12" customHeight="1" x14ac:dyDescent="0.2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</row>
    <row r="9" spans="1:14" ht="12" customHeight="1" x14ac:dyDescent="0.2">
      <c r="A9" s="6"/>
      <c r="B9" s="6"/>
      <c r="C9" s="6"/>
      <c r="D9" s="6"/>
      <c r="E9" s="6"/>
      <c r="F9" s="13"/>
      <c r="G9" s="11"/>
      <c r="H9" s="12"/>
      <c r="I9" s="12"/>
      <c r="K9" s="6"/>
      <c r="L9" s="6"/>
      <c r="M9" s="31"/>
      <c r="N9" s="31"/>
    </row>
    <row r="10" spans="1:1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32"/>
      <c r="N10" s="32"/>
    </row>
    <row r="11" spans="1:14" s="3" customFormat="1" ht="15" customHeight="1" x14ac:dyDescent="0.2">
      <c r="A11" s="47" t="s">
        <v>0</v>
      </c>
      <c r="B11" s="47" t="s">
        <v>8</v>
      </c>
      <c r="C11" s="47" t="s">
        <v>10</v>
      </c>
      <c r="D11" s="52" t="s">
        <v>3</v>
      </c>
      <c r="E11" s="55" t="s">
        <v>4</v>
      </c>
      <c r="F11" s="56" t="s">
        <v>11</v>
      </c>
      <c r="G11" s="57"/>
      <c r="H11" s="57"/>
      <c r="I11" s="57"/>
      <c r="J11" s="57"/>
      <c r="K11" s="57"/>
      <c r="L11" s="58"/>
      <c r="M11" s="55" t="s">
        <v>105</v>
      </c>
      <c r="N11" s="61" t="s">
        <v>7</v>
      </c>
    </row>
    <row r="12" spans="1:14" s="3" customFormat="1" ht="37.5" customHeight="1" x14ac:dyDescent="0.2">
      <c r="A12" s="47"/>
      <c r="B12" s="47"/>
      <c r="C12" s="47"/>
      <c r="D12" s="53"/>
      <c r="E12" s="55"/>
      <c r="F12" s="52" t="s">
        <v>12</v>
      </c>
      <c r="G12" s="47" t="s">
        <v>5</v>
      </c>
      <c r="H12" s="47"/>
      <c r="I12" s="48" t="s">
        <v>1</v>
      </c>
      <c r="J12" s="49"/>
      <c r="K12" s="49"/>
      <c r="L12" s="50"/>
      <c r="M12" s="55"/>
      <c r="N12" s="62"/>
    </row>
    <row r="13" spans="1:14" s="3" customFormat="1" ht="23.25" customHeight="1" x14ac:dyDescent="0.2">
      <c r="A13" s="47"/>
      <c r="B13" s="47"/>
      <c r="C13" s="47"/>
      <c r="D13" s="53"/>
      <c r="E13" s="55"/>
      <c r="F13" s="53"/>
      <c r="G13" s="47" t="s">
        <v>13</v>
      </c>
      <c r="H13" s="48" t="s">
        <v>6</v>
      </c>
      <c r="I13" s="49"/>
      <c r="J13" s="49"/>
      <c r="K13" s="49"/>
      <c r="L13" s="50"/>
      <c r="M13" s="55"/>
      <c r="N13" s="62"/>
    </row>
    <row r="14" spans="1:14" s="3" customFormat="1" ht="23.25" customHeight="1" x14ac:dyDescent="0.2">
      <c r="A14" s="47"/>
      <c r="B14" s="47"/>
      <c r="C14" s="47"/>
      <c r="D14" s="53"/>
      <c r="E14" s="55"/>
      <c r="F14" s="53"/>
      <c r="G14" s="47"/>
      <c r="H14" s="52" t="s">
        <v>14</v>
      </c>
      <c r="I14" s="48" t="s">
        <v>15</v>
      </c>
      <c r="J14" s="49"/>
      <c r="K14" s="49"/>
      <c r="L14" s="50"/>
      <c r="M14" s="55"/>
      <c r="N14" s="62"/>
    </row>
    <row r="15" spans="1:14" s="3" customFormat="1" ht="69" customHeight="1" x14ac:dyDescent="0.2">
      <c r="A15" s="47"/>
      <c r="B15" s="47"/>
      <c r="C15" s="47"/>
      <c r="D15" s="54"/>
      <c r="E15" s="55"/>
      <c r="F15" s="54"/>
      <c r="G15" s="47"/>
      <c r="H15" s="54"/>
      <c r="I15" s="9" t="s">
        <v>16</v>
      </c>
      <c r="J15" s="8" t="s">
        <v>17</v>
      </c>
      <c r="K15" s="8" t="s">
        <v>18</v>
      </c>
      <c r="L15" s="8" t="s">
        <v>19</v>
      </c>
      <c r="M15" s="55"/>
      <c r="N15" s="63"/>
    </row>
    <row r="16" spans="1:14" s="3" customFormat="1" ht="24" customHeight="1" x14ac:dyDescent="0.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33">
        <v>13</v>
      </c>
      <c r="N16" s="33">
        <v>14</v>
      </c>
    </row>
    <row r="17" spans="1:14" s="14" customFormat="1" ht="99" customHeight="1" x14ac:dyDescent="0.2">
      <c r="A17" s="4" t="s">
        <v>20</v>
      </c>
      <c r="B17" s="20" t="s">
        <v>28</v>
      </c>
      <c r="C17" s="20" t="s">
        <v>29</v>
      </c>
      <c r="D17" s="28" t="s">
        <v>49</v>
      </c>
      <c r="E17" s="10"/>
      <c r="F17" s="21">
        <f>SUM(G17,L17)</f>
        <v>1251611.7354031513</v>
      </c>
      <c r="G17" s="22">
        <f>4068280.69/3.4528</f>
        <v>1178255.528846154</v>
      </c>
      <c r="H17" s="18"/>
      <c r="I17" s="18"/>
      <c r="J17" s="18"/>
      <c r="K17" s="18"/>
      <c r="L17" s="22">
        <f>253284.31/3.4528</f>
        <v>73356.206556997218</v>
      </c>
      <c r="M17" s="34">
        <v>41526</v>
      </c>
      <c r="N17" s="36"/>
    </row>
    <row r="18" spans="1:14" s="35" customFormat="1" ht="66.75" customHeight="1" x14ac:dyDescent="0.2">
      <c r="A18" s="42" t="s">
        <v>21</v>
      </c>
      <c r="B18" s="38" t="s">
        <v>30</v>
      </c>
      <c r="C18" s="38" t="s">
        <v>31</v>
      </c>
      <c r="D18" s="39" t="s">
        <v>50</v>
      </c>
      <c r="E18" s="36"/>
      <c r="F18" s="43">
        <f t="shared" ref="F18:F23" si="0">SUM(G18:L18)</f>
        <v>3124772.3370064879</v>
      </c>
      <c r="G18" s="40">
        <f>7972781.88/3.4528+659456.48</f>
        <v>2968533.7158665434</v>
      </c>
      <c r="H18" s="43"/>
      <c r="I18" s="40"/>
      <c r="J18" s="40"/>
      <c r="K18" s="40"/>
      <c r="L18" s="40">
        <f>419620.1/3.4528+34708.24</f>
        <v>156238.62113994439</v>
      </c>
      <c r="M18" s="34">
        <v>41526</v>
      </c>
      <c r="N18" s="36"/>
    </row>
    <row r="19" spans="1:14" ht="68.25" customHeight="1" x14ac:dyDescent="0.2">
      <c r="A19" s="4" t="s">
        <v>22</v>
      </c>
      <c r="B19" s="20" t="s">
        <v>32</v>
      </c>
      <c r="C19" s="20" t="s">
        <v>33</v>
      </c>
      <c r="D19" s="28" t="s">
        <v>50</v>
      </c>
      <c r="E19" s="10"/>
      <c r="F19" s="25">
        <f t="shared" si="0"/>
        <v>2655381.1399443927</v>
      </c>
      <c r="G19" s="22">
        <f>8574003.16/3.4528</f>
        <v>2483202.954124189</v>
      </c>
      <c r="H19" s="22"/>
      <c r="I19" s="22"/>
      <c r="J19" s="22"/>
      <c r="K19" s="22"/>
      <c r="L19" s="22">
        <f>594496.84/3.4528</f>
        <v>172178.18582020389</v>
      </c>
      <c r="M19" s="34">
        <v>41526</v>
      </c>
      <c r="N19" s="36"/>
    </row>
    <row r="20" spans="1:14" ht="94.5" customHeight="1" x14ac:dyDescent="0.2">
      <c r="A20" s="15" t="s">
        <v>23</v>
      </c>
      <c r="B20" s="20" t="s">
        <v>34</v>
      </c>
      <c r="C20" s="20" t="s">
        <v>35</v>
      </c>
      <c r="D20" s="28" t="s">
        <v>49</v>
      </c>
      <c r="E20" s="10"/>
      <c r="F20" s="25">
        <f t="shared" si="0"/>
        <v>1340583.2947173307</v>
      </c>
      <c r="G20" s="22">
        <f>4212490.56/3.4528</f>
        <v>1220021.5940685819</v>
      </c>
      <c r="H20" s="22"/>
      <c r="I20" s="22"/>
      <c r="J20" s="22">
        <f>416275.44/3.4528</f>
        <v>120561.70064874884</v>
      </c>
      <c r="K20" s="22"/>
      <c r="L20" s="22"/>
      <c r="M20" s="34">
        <v>41526</v>
      </c>
      <c r="N20" s="36"/>
    </row>
    <row r="21" spans="1:14" ht="64.5" customHeight="1" x14ac:dyDescent="0.2">
      <c r="A21" s="15" t="s">
        <v>24</v>
      </c>
      <c r="B21" s="20" t="s">
        <v>36</v>
      </c>
      <c r="C21" s="20" t="s">
        <v>37</v>
      </c>
      <c r="D21" s="28" t="s">
        <v>49</v>
      </c>
      <c r="E21" s="10"/>
      <c r="F21" s="25">
        <f t="shared" si="0"/>
        <v>546712.18431417982</v>
      </c>
      <c r="G21" s="22">
        <f>1793303.43/3.4528</f>
        <v>519376.57263670064</v>
      </c>
      <c r="H21" s="22"/>
      <c r="I21" s="22"/>
      <c r="J21" s="22">
        <f>94384.4/3.4528</f>
        <v>27335.611677479148</v>
      </c>
      <c r="K21" s="18"/>
      <c r="L21" s="18"/>
      <c r="M21" s="34">
        <v>41526</v>
      </c>
      <c r="N21" s="36"/>
    </row>
    <row r="22" spans="1:14" ht="191.25" customHeight="1" x14ac:dyDescent="0.2">
      <c r="A22" s="15" t="s">
        <v>25</v>
      </c>
      <c r="B22" s="23" t="s">
        <v>38</v>
      </c>
      <c r="C22" s="23" t="s">
        <v>39</v>
      </c>
      <c r="D22" s="28" t="s">
        <v>49</v>
      </c>
      <c r="E22" s="10"/>
      <c r="F22" s="25">
        <f t="shared" si="0"/>
        <v>4211853.1800278034</v>
      </c>
      <c r="G22" s="21">
        <f>13808578.19/3.4528</f>
        <v>3999240.6713392031</v>
      </c>
      <c r="H22" s="18"/>
      <c r="I22" s="18"/>
      <c r="J22" s="18"/>
      <c r="K22" s="18"/>
      <c r="L22" s="22">
        <f>734108.47/3.4528</f>
        <v>212612.50868860056</v>
      </c>
      <c r="M22" s="34">
        <v>41526</v>
      </c>
      <c r="N22" s="36"/>
    </row>
    <row r="23" spans="1:14" ht="60.75" customHeight="1" x14ac:dyDescent="0.2">
      <c r="A23" s="15" t="s">
        <v>26</v>
      </c>
      <c r="B23" s="20" t="s">
        <v>40</v>
      </c>
      <c r="C23" s="20" t="s">
        <v>41</v>
      </c>
      <c r="D23" s="28" t="s">
        <v>50</v>
      </c>
      <c r="E23" s="10"/>
      <c r="F23" s="22">
        <f t="shared" si="0"/>
        <v>679882.9935125116</v>
      </c>
      <c r="G23" s="22">
        <f>2230125/3.4528</f>
        <v>645888.84383688599</v>
      </c>
      <c r="H23" s="22"/>
      <c r="I23" s="26"/>
      <c r="J23" s="27">
        <f>117375/3.4528</f>
        <v>33994.14967562558</v>
      </c>
      <c r="K23" s="18"/>
      <c r="L23" s="18"/>
      <c r="M23" s="34">
        <v>41526</v>
      </c>
      <c r="N23" s="36"/>
    </row>
    <row r="24" spans="1:14" ht="92.25" customHeight="1" x14ac:dyDescent="0.2">
      <c r="A24" s="15" t="s">
        <v>51</v>
      </c>
      <c r="B24" s="20" t="s">
        <v>42</v>
      </c>
      <c r="C24" s="20" t="s">
        <v>43</v>
      </c>
      <c r="D24" s="28" t="s">
        <v>49</v>
      </c>
      <c r="E24" s="10"/>
      <c r="F24" s="22">
        <f>SUM(G24:J24)</f>
        <v>681720.34291010187</v>
      </c>
      <c r="G24" s="22">
        <f>2236151.8/3.4528</f>
        <v>647634.32576459681</v>
      </c>
      <c r="H24" s="22"/>
      <c r="I24" s="22"/>
      <c r="J24" s="22">
        <f>117692.2/3.4528</f>
        <v>34086.017145505095</v>
      </c>
      <c r="K24" s="18"/>
      <c r="L24" s="18"/>
      <c r="M24" s="34">
        <v>41526</v>
      </c>
      <c r="N24" s="36"/>
    </row>
    <row r="25" spans="1:14" ht="93.75" customHeight="1" x14ac:dyDescent="0.2">
      <c r="A25" s="15" t="s">
        <v>52</v>
      </c>
      <c r="B25" s="24" t="s">
        <v>44</v>
      </c>
      <c r="C25" s="23" t="s">
        <v>45</v>
      </c>
      <c r="D25" s="28" t="s">
        <v>49</v>
      </c>
      <c r="E25" s="10"/>
      <c r="F25" s="16">
        <v>4198271.6900000004</v>
      </c>
      <c r="G25" s="16">
        <v>3936808.56</v>
      </c>
      <c r="H25" s="18"/>
      <c r="I25" s="18"/>
      <c r="J25" s="18"/>
      <c r="K25" s="18"/>
      <c r="L25" s="18">
        <v>261463.14</v>
      </c>
      <c r="M25" s="34">
        <v>41533</v>
      </c>
      <c r="N25" s="36"/>
    </row>
    <row r="26" spans="1:14" ht="93.75" customHeight="1" x14ac:dyDescent="0.2">
      <c r="A26" s="15">
        <v>10</v>
      </c>
      <c r="B26" s="20" t="s">
        <v>46</v>
      </c>
      <c r="C26" s="20" t="s">
        <v>47</v>
      </c>
      <c r="D26" s="28" t="s">
        <v>49</v>
      </c>
      <c r="E26" s="10"/>
      <c r="F26" s="22">
        <f>SUM(G26:J26)</f>
        <v>3881849.1716867471</v>
      </c>
      <c r="G26" s="22">
        <f>12733086.38/3.4528</f>
        <v>3687756.71339203</v>
      </c>
      <c r="H26" s="22"/>
      <c r="I26" s="22"/>
      <c r="J26" s="22">
        <f>670162.44/3.4528</f>
        <v>194092.45829471733</v>
      </c>
      <c r="K26" s="18"/>
      <c r="L26" s="18"/>
      <c r="M26" s="34">
        <v>41526</v>
      </c>
      <c r="N26" s="36"/>
    </row>
    <row r="27" spans="1:14" ht="105.75" customHeight="1" x14ac:dyDescent="0.2">
      <c r="A27" s="15" t="s">
        <v>53</v>
      </c>
      <c r="B27" s="20" t="s">
        <v>61</v>
      </c>
      <c r="C27" s="20" t="s">
        <v>62</v>
      </c>
      <c r="D27" s="28" t="s">
        <v>49</v>
      </c>
      <c r="E27" s="10"/>
      <c r="F27" s="16">
        <v>6021565.9800000004</v>
      </c>
      <c r="G27" s="16">
        <v>5701499.4699999997</v>
      </c>
      <c r="H27" s="18"/>
      <c r="I27" s="18"/>
      <c r="J27" s="18">
        <v>320066.51</v>
      </c>
      <c r="K27" s="18"/>
      <c r="L27" s="18"/>
      <c r="M27" s="34">
        <v>41526</v>
      </c>
      <c r="N27" s="36"/>
    </row>
    <row r="28" spans="1:14" ht="108.75" customHeight="1" x14ac:dyDescent="0.2">
      <c r="A28" s="15" t="s">
        <v>54</v>
      </c>
      <c r="B28" s="20" t="s">
        <v>57</v>
      </c>
      <c r="C28" s="20" t="s">
        <v>63</v>
      </c>
      <c r="D28" s="28" t="s">
        <v>49</v>
      </c>
      <c r="E28" s="10"/>
      <c r="F28" s="22">
        <f>SUM(G28:L28)</f>
        <v>1491507.3563484708</v>
      </c>
      <c r="G28" s="22">
        <f>4828273.88/3.4528</f>
        <v>1398364.7706209454</v>
      </c>
      <c r="H28" s="22"/>
      <c r="I28" s="22"/>
      <c r="J28" s="22"/>
      <c r="K28" s="22"/>
      <c r="L28" s="22">
        <f>321602.72/3.4528</f>
        <v>93142.585727525482</v>
      </c>
      <c r="M28" s="34">
        <v>41526</v>
      </c>
      <c r="N28" s="36"/>
    </row>
    <row r="29" spans="1:14" ht="96.75" customHeight="1" x14ac:dyDescent="0.2">
      <c r="A29" s="15" t="s">
        <v>55</v>
      </c>
      <c r="B29" s="20" t="s">
        <v>58</v>
      </c>
      <c r="C29" s="20" t="s">
        <v>64</v>
      </c>
      <c r="D29" s="28" t="s">
        <v>49</v>
      </c>
      <c r="E29" s="10"/>
      <c r="F29" s="22">
        <f>SUM(G29:L29)</f>
        <v>2605372.7409638553</v>
      </c>
      <c r="G29" s="22">
        <f>8546039.45/3.4528</f>
        <v>2475104.1039156625</v>
      </c>
      <c r="H29" s="22"/>
      <c r="I29" s="22"/>
      <c r="J29" s="22"/>
      <c r="K29" s="22"/>
      <c r="L29" s="22">
        <f>449791.55/3.4528</f>
        <v>130268.63704819277</v>
      </c>
      <c r="M29" s="34">
        <v>41526</v>
      </c>
      <c r="N29" s="36"/>
    </row>
    <row r="30" spans="1:14" ht="96.75" customHeight="1" x14ac:dyDescent="0.2">
      <c r="A30" s="15" t="s">
        <v>56</v>
      </c>
      <c r="B30" s="20" t="s">
        <v>59</v>
      </c>
      <c r="C30" s="20" t="s">
        <v>65</v>
      </c>
      <c r="D30" s="28" t="s">
        <v>49</v>
      </c>
      <c r="E30" s="10"/>
      <c r="F30" s="22">
        <f t="shared" ref="F30:F41" si="1">SUM(G30:L30)</f>
        <v>400450.93836886005</v>
      </c>
      <c r="G30" s="22">
        <f>1313543.15/3.4528</f>
        <v>380428.39145041705</v>
      </c>
      <c r="H30" s="22"/>
      <c r="I30" s="22"/>
      <c r="J30" s="22"/>
      <c r="K30" s="22"/>
      <c r="L30" s="22">
        <f>69133.85/3.4528</f>
        <v>20022.546918443004</v>
      </c>
      <c r="M30" s="34">
        <v>41526</v>
      </c>
      <c r="N30" s="36"/>
    </row>
    <row r="31" spans="1:14" ht="72.75" customHeight="1" x14ac:dyDescent="0.2">
      <c r="A31" s="15" t="s">
        <v>68</v>
      </c>
      <c r="B31" s="20" t="s">
        <v>60</v>
      </c>
      <c r="C31" s="20" t="s">
        <v>66</v>
      </c>
      <c r="D31" s="28" t="s">
        <v>67</v>
      </c>
      <c r="E31" s="10"/>
      <c r="F31" s="22">
        <f t="shared" si="1"/>
        <v>1442886.9323447635</v>
      </c>
      <c r="G31" s="22">
        <f>4721768.68/3.4528</f>
        <v>1367518.7326227988</v>
      </c>
      <c r="H31" s="22"/>
      <c r="I31" s="22"/>
      <c r="J31" s="22">
        <f>260231.32/3.4528</f>
        <v>75368.199721964789</v>
      </c>
      <c r="K31" s="18"/>
      <c r="L31" s="18"/>
      <c r="M31" s="34">
        <v>41526</v>
      </c>
      <c r="N31" s="36"/>
    </row>
    <row r="32" spans="1:14" ht="147" customHeight="1" x14ac:dyDescent="0.2">
      <c r="A32" s="15" t="s">
        <v>69</v>
      </c>
      <c r="B32" s="20" t="s">
        <v>82</v>
      </c>
      <c r="C32" s="20" t="s">
        <v>83</v>
      </c>
      <c r="D32" s="28" t="s">
        <v>49</v>
      </c>
      <c r="E32" s="10"/>
      <c r="F32" s="22">
        <f t="shared" si="1"/>
        <v>413096.18280815572</v>
      </c>
      <c r="G32" s="22">
        <f>1355021.57/3.4528</f>
        <v>392441.37221964786</v>
      </c>
      <c r="H32" s="22"/>
      <c r="I32" s="22"/>
      <c r="J32" s="22">
        <f>71316.93/3.4528</f>
        <v>20654.810588507877</v>
      </c>
      <c r="K32" s="18"/>
      <c r="L32" s="18"/>
      <c r="M32" s="34">
        <v>41533</v>
      </c>
      <c r="N32" s="36"/>
    </row>
    <row r="33" spans="1:14" ht="69" customHeight="1" x14ac:dyDescent="0.2">
      <c r="A33" s="15" t="s">
        <v>70</v>
      </c>
      <c r="B33" s="20" t="s">
        <v>73</v>
      </c>
      <c r="C33" s="20" t="s">
        <v>74</v>
      </c>
      <c r="D33" s="28" t="s">
        <v>50</v>
      </c>
      <c r="E33" s="10"/>
      <c r="F33" s="22">
        <f t="shared" si="1"/>
        <v>1079066.2650602411</v>
      </c>
      <c r="G33" s="22">
        <f>3515238.06/3.4528</f>
        <v>1018083.3120945321</v>
      </c>
      <c r="H33" s="22"/>
      <c r="I33" s="22"/>
      <c r="J33" s="22"/>
      <c r="K33" s="22"/>
      <c r="L33" s="22">
        <f>210561.94/3.4528</f>
        <v>60982.952965708995</v>
      </c>
      <c r="M33" s="34">
        <v>41526</v>
      </c>
      <c r="N33" s="36"/>
    </row>
    <row r="34" spans="1:14" ht="89.25" customHeight="1" x14ac:dyDescent="0.2">
      <c r="A34" s="15" t="s">
        <v>71</v>
      </c>
      <c r="B34" s="20" t="s">
        <v>75</v>
      </c>
      <c r="C34" s="20" t="s">
        <v>76</v>
      </c>
      <c r="D34" s="28" t="s">
        <v>49</v>
      </c>
      <c r="E34" s="10"/>
      <c r="F34" s="22">
        <f t="shared" si="1"/>
        <v>1119294.4856348471</v>
      </c>
      <c r="G34" s="22">
        <f>3671465/3.4528</f>
        <v>1063329.7613531048</v>
      </c>
      <c r="H34" s="22"/>
      <c r="I34" s="22"/>
      <c r="J34" s="22">
        <f>193235/3.4528</f>
        <v>55964.724281742354</v>
      </c>
      <c r="K34" s="18"/>
      <c r="L34" s="18"/>
      <c r="M34" s="34">
        <v>41526</v>
      </c>
      <c r="N34" s="36"/>
    </row>
    <row r="35" spans="1:14" ht="78.75" customHeight="1" x14ac:dyDescent="0.2">
      <c r="A35" s="15" t="s">
        <v>72</v>
      </c>
      <c r="B35" s="20" t="s">
        <v>77</v>
      </c>
      <c r="C35" s="20" t="s">
        <v>78</v>
      </c>
      <c r="D35" s="28" t="s">
        <v>50</v>
      </c>
      <c r="E35" s="10"/>
      <c r="F35" s="22">
        <f t="shared" si="1"/>
        <v>1985180.3434893421</v>
      </c>
      <c r="G35" s="22">
        <f>6511709.15/3.4528</f>
        <v>1885921.324721965</v>
      </c>
      <c r="H35" s="25"/>
      <c r="I35" s="22"/>
      <c r="J35" s="22"/>
      <c r="K35" s="22"/>
      <c r="L35" s="22">
        <f>342721.54/3.4528</f>
        <v>99259.018767377202</v>
      </c>
      <c r="M35" s="34">
        <v>41526</v>
      </c>
      <c r="N35" s="36"/>
    </row>
    <row r="36" spans="1:14" s="35" customFormat="1" ht="97.5" customHeight="1" x14ac:dyDescent="0.2">
      <c r="A36" s="37" t="s">
        <v>81</v>
      </c>
      <c r="B36" s="38" t="s">
        <v>79</v>
      </c>
      <c r="C36" s="38" t="s">
        <v>80</v>
      </c>
      <c r="D36" s="39" t="s">
        <v>49</v>
      </c>
      <c r="E36" s="36"/>
      <c r="F36" s="40">
        <v>917320</v>
      </c>
      <c r="G36" s="40">
        <f>F36-J36</f>
        <v>871370.53</v>
      </c>
      <c r="H36" s="40"/>
      <c r="I36" s="40"/>
      <c r="J36" s="40">
        <v>45949.47</v>
      </c>
      <c r="K36" s="41"/>
      <c r="L36" s="41"/>
      <c r="M36" s="34">
        <v>41533</v>
      </c>
      <c r="N36" s="36"/>
    </row>
    <row r="37" spans="1:14" ht="75.75" customHeight="1" x14ac:dyDescent="0.2">
      <c r="A37" s="15" t="s">
        <v>84</v>
      </c>
      <c r="B37" s="20" t="s">
        <v>88</v>
      </c>
      <c r="C37" s="20" t="s">
        <v>89</v>
      </c>
      <c r="D37" s="28" t="s">
        <v>50</v>
      </c>
      <c r="E37" s="10"/>
      <c r="F37" s="22">
        <f t="shared" si="1"/>
        <v>2335200.9441612605</v>
      </c>
      <c r="G37" s="22">
        <f>7589690.37/3.4528</f>
        <v>2198126.2656394811</v>
      </c>
      <c r="H37" s="22"/>
      <c r="I37" s="22"/>
      <c r="J37" s="22">
        <f>473291.45/3.4528</f>
        <v>137074.67852177942</v>
      </c>
      <c r="K37" s="18"/>
      <c r="L37" s="18"/>
      <c r="M37" s="34">
        <v>41533</v>
      </c>
      <c r="N37" s="36"/>
    </row>
    <row r="38" spans="1:14" ht="97.5" customHeight="1" x14ac:dyDescent="0.2">
      <c r="A38" s="15" t="s">
        <v>85</v>
      </c>
      <c r="B38" s="20" t="s">
        <v>90</v>
      </c>
      <c r="C38" s="20" t="s">
        <v>91</v>
      </c>
      <c r="D38" s="28" t="s">
        <v>49</v>
      </c>
      <c r="E38" s="10"/>
      <c r="F38" s="22">
        <f t="shared" si="1"/>
        <v>901523.69091751624</v>
      </c>
      <c r="G38" s="22">
        <f>2957141.95/3.4528</f>
        <v>856447.50637164048</v>
      </c>
      <c r="H38" s="22"/>
      <c r="I38" s="22"/>
      <c r="J38" s="22"/>
      <c r="K38" s="22"/>
      <c r="L38" s="22">
        <f>155639.05/3.4528</f>
        <v>45076.184545875811</v>
      </c>
      <c r="M38" s="34">
        <v>41526</v>
      </c>
      <c r="N38" s="36"/>
    </row>
    <row r="39" spans="1:14" ht="97.5" customHeight="1" x14ac:dyDescent="0.2">
      <c r="A39" s="15" t="s">
        <v>86</v>
      </c>
      <c r="B39" s="20" t="s">
        <v>92</v>
      </c>
      <c r="C39" s="20" t="s">
        <v>93</v>
      </c>
      <c r="D39" s="28" t="s">
        <v>49</v>
      </c>
      <c r="E39" s="10"/>
      <c r="F39" s="22">
        <f t="shared" si="1"/>
        <v>405787.76645041705</v>
      </c>
      <c r="G39" s="22">
        <f>1331048.8/3.4528</f>
        <v>385498.37812789623</v>
      </c>
      <c r="H39" s="22"/>
      <c r="I39" s="22"/>
      <c r="J39" s="22">
        <f>70055.2/3.4528</f>
        <v>20289.388322520852</v>
      </c>
      <c r="K39" s="18"/>
      <c r="L39" s="18"/>
      <c r="M39" s="34">
        <v>41526</v>
      </c>
      <c r="N39" s="36"/>
    </row>
    <row r="40" spans="1:14" ht="97.5" customHeight="1" x14ac:dyDescent="0.2">
      <c r="A40" s="15" t="s">
        <v>87</v>
      </c>
      <c r="B40" s="20" t="s">
        <v>94</v>
      </c>
      <c r="C40" s="20" t="s">
        <v>95</v>
      </c>
      <c r="D40" s="28" t="s">
        <v>49</v>
      </c>
      <c r="E40" s="10"/>
      <c r="F40" s="22">
        <f t="shared" si="1"/>
        <v>2697984.2446709913</v>
      </c>
      <c r="G40" s="22">
        <f>8843963.94/3.4528</f>
        <v>2561389.0002316958</v>
      </c>
      <c r="H40" s="22"/>
      <c r="I40" s="22"/>
      <c r="J40" s="22"/>
      <c r="K40" s="22"/>
      <c r="L40" s="22">
        <f>471636.06/3.4528</f>
        <v>136595.24443929564</v>
      </c>
      <c r="M40" s="34">
        <v>41526</v>
      </c>
      <c r="N40" s="36"/>
    </row>
    <row r="41" spans="1:14" ht="97.5" customHeight="1" x14ac:dyDescent="0.2">
      <c r="A41" s="15" t="s">
        <v>98</v>
      </c>
      <c r="B41" s="20" t="s">
        <v>96</v>
      </c>
      <c r="C41" s="20" t="s">
        <v>97</v>
      </c>
      <c r="D41" s="29" t="s">
        <v>49</v>
      </c>
      <c r="E41" s="10"/>
      <c r="F41" s="22">
        <f t="shared" si="1"/>
        <v>4907159.4068582021</v>
      </c>
      <c r="G41" s="22">
        <f>16096268/3.4528</f>
        <v>4661801.4365152922</v>
      </c>
      <c r="H41" s="22"/>
      <c r="I41" s="22"/>
      <c r="J41" s="22"/>
      <c r="K41" s="22"/>
      <c r="L41" s="22">
        <f>847172/3.4528</f>
        <v>245357.97034291012</v>
      </c>
      <c r="M41" s="34">
        <v>41533</v>
      </c>
      <c r="N41" s="36"/>
    </row>
    <row r="42" spans="1:14" ht="111" customHeight="1" x14ac:dyDescent="0.2">
      <c r="A42" s="15" t="s">
        <v>99</v>
      </c>
      <c r="B42" s="20" t="s">
        <v>101</v>
      </c>
      <c r="C42" s="20" t="s">
        <v>103</v>
      </c>
      <c r="D42" s="29" t="s">
        <v>49</v>
      </c>
      <c r="E42" s="10"/>
      <c r="F42" s="22">
        <v>4381193.8099999996</v>
      </c>
      <c r="G42" s="22">
        <v>4162134.12</v>
      </c>
      <c r="H42" s="22"/>
      <c r="I42" s="22"/>
      <c r="J42" s="22"/>
      <c r="K42" s="18"/>
      <c r="L42" s="18">
        <v>219059.69</v>
      </c>
      <c r="M42" s="34">
        <v>41526</v>
      </c>
      <c r="N42" s="36"/>
    </row>
    <row r="43" spans="1:14" s="35" customFormat="1" ht="97.5" customHeight="1" x14ac:dyDescent="0.2">
      <c r="A43" s="37" t="s">
        <v>100</v>
      </c>
      <c r="B43" s="38" t="s">
        <v>102</v>
      </c>
      <c r="C43" s="38" t="s">
        <v>104</v>
      </c>
      <c r="D43" s="44" t="s">
        <v>49</v>
      </c>
      <c r="E43" s="36"/>
      <c r="F43" s="40">
        <f>SUM(G43+J43)</f>
        <v>5431522.8200000003</v>
      </c>
      <c r="G43" s="40">
        <f>5090705.48+66500</f>
        <v>5157205.4800000004</v>
      </c>
      <c r="H43" s="40"/>
      <c r="I43" s="40"/>
      <c r="J43" s="40">
        <f>270817.34+3500</f>
        <v>274317.34000000003</v>
      </c>
      <c r="K43" s="41"/>
      <c r="L43" s="41"/>
      <c r="M43" s="34">
        <v>41533</v>
      </c>
      <c r="N43" s="36"/>
    </row>
    <row r="44" spans="1:14" ht="12.75" customHeight="1" x14ac:dyDescent="0.2">
      <c r="A44" s="51" t="s">
        <v>2</v>
      </c>
      <c r="B44" s="51"/>
      <c r="C44" s="51"/>
      <c r="D44" s="51"/>
      <c r="E44" s="51"/>
      <c r="F44" s="17">
        <f t="shared" ref="F44:L44" si="2">SUM(F17:F43)</f>
        <v>61108751.977599628</v>
      </c>
      <c r="G44" s="17">
        <f t="shared" si="2"/>
        <v>57823383.435759962</v>
      </c>
      <c r="H44" s="17">
        <f t="shared" si="2"/>
        <v>0</v>
      </c>
      <c r="I44" s="17">
        <f t="shared" si="2"/>
        <v>0</v>
      </c>
      <c r="J44" s="17">
        <f t="shared" si="2"/>
        <v>1359755.0588785913</v>
      </c>
      <c r="K44" s="17">
        <f t="shared" si="2"/>
        <v>0</v>
      </c>
      <c r="L44" s="17">
        <f t="shared" si="2"/>
        <v>1925613.4929610749</v>
      </c>
      <c r="M44" s="45"/>
      <c r="N44" s="45"/>
    </row>
    <row r="46" spans="1:14" x14ac:dyDescent="0.2">
      <c r="B46" s="2" t="s">
        <v>106</v>
      </c>
    </row>
    <row r="47" spans="1:14" x14ac:dyDescent="0.2">
      <c r="G47" s="19"/>
      <c r="H47" s="19"/>
      <c r="I47" s="19"/>
      <c r="J47" s="19"/>
    </row>
  </sheetData>
  <mergeCells count="23">
    <mergeCell ref="A4:N4"/>
    <mergeCell ref="A3:N3"/>
    <mergeCell ref="I14:L14"/>
    <mergeCell ref="A7:N7"/>
    <mergeCell ref="N11:N15"/>
    <mergeCell ref="M11:M15"/>
    <mergeCell ref="A5:N5"/>
    <mergeCell ref="G12:H12"/>
    <mergeCell ref="A11:A15"/>
    <mergeCell ref="C11:C15"/>
    <mergeCell ref="H14:H15"/>
    <mergeCell ref="A8:N8"/>
    <mergeCell ref="M44:N44"/>
    <mergeCell ref="A6:N6"/>
    <mergeCell ref="B11:B15"/>
    <mergeCell ref="I12:L12"/>
    <mergeCell ref="A44:E44"/>
    <mergeCell ref="G13:G15"/>
    <mergeCell ref="D11:D15"/>
    <mergeCell ref="E11:E15"/>
    <mergeCell ref="H13:L13"/>
    <mergeCell ref="F11:L11"/>
    <mergeCell ref="F12:F15"/>
  </mergeCells>
  <pageMargins left="0.43307086614173229" right="0.23622047244094491" top="0.74803149606299213" bottom="0.74803149606299213" header="0.31496062992125984" footer="0.31496062992125984"/>
  <pageSetup paperSize="9" scale="60" fitToWidth="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Lapas1</vt:lpstr>
      <vt:lpstr>Lapas1!Print_Area</vt:lpstr>
    </vt:vector>
  </TitlesOfParts>
  <Company>FM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e.grineviciene</cp:lastModifiedBy>
  <cp:lastPrinted>2016-03-29T07:24:57Z</cp:lastPrinted>
  <dcterms:created xsi:type="dcterms:W3CDTF">2013-02-28T07:13:39Z</dcterms:created>
  <dcterms:modified xsi:type="dcterms:W3CDTF">2016-03-30T13:04:32Z</dcterms:modified>
</cp:coreProperties>
</file>